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DCA2" lockStructure="1"/>
  <bookViews>
    <workbookView xWindow="0" yWindow="270" windowWidth="15570" windowHeight="7455" tabRatio="752" firstSheet="1" activeTab="1"/>
  </bookViews>
  <sheets>
    <sheet name="Tool Dev" sheetId="49" state="hidden" r:id="rId1"/>
    <sheet name="Instructions" sheetId="36" r:id="rId2"/>
    <sheet name="Summary Table" sheetId="35" r:id="rId3"/>
    <sheet name="Common Factors" sheetId="37" r:id="rId4"/>
    <sheet name="E 1.1" sheetId="38" r:id="rId5"/>
    <sheet name="E 1.2" sheetId="39" r:id="rId6"/>
    <sheet name="E 1.3" sheetId="40" r:id="rId7"/>
    <sheet name="E 1.5" sheetId="41" r:id="rId8"/>
    <sheet name="E 1.6" sheetId="42" r:id="rId9"/>
    <sheet name="E 2.1" sheetId="50" r:id="rId10"/>
    <sheet name="T1.1" sheetId="43" r:id="rId11"/>
    <sheet name="LU.1.1" sheetId="44" r:id="rId12"/>
    <sheet name="SW.1.1" sheetId="46" r:id="rId13"/>
    <sheet name="Strategy E.1.X" sheetId="21" state="hidden" r:id="rId14"/>
    <sheet name="Strategy E.3.1" sheetId="11" state="hidden" r:id="rId15"/>
    <sheet name="Strategy E.3.2" sheetId="24" state="hidden" r:id="rId16"/>
    <sheet name="W.1.1" sheetId="48" r:id="rId17"/>
  </sheets>
  <definedNames>
    <definedName name="ImplementationOptions">'Common Factors'!$A$83:$A$85</definedName>
    <definedName name="ImpOptions">'Common Factors'!$A$83:$A$85</definedName>
    <definedName name="_xlnm.Print_Area" localSheetId="1">Instructions!$B$7:$C$7</definedName>
  </definedNames>
  <calcPr calcId="145621"/>
</workbook>
</file>

<file path=xl/calcChain.xml><?xml version="1.0" encoding="utf-8"?>
<calcChain xmlns="http://schemas.openxmlformats.org/spreadsheetml/2006/main">
  <c r="G20" i="35" l="1"/>
  <c r="C11" i="35"/>
  <c r="C8" i="35"/>
  <c r="C10" i="35"/>
  <c r="E31" i="50" l="1"/>
  <c r="E59" i="50" s="1"/>
  <c r="K11" i="35" s="1"/>
  <c r="E41" i="50" l="1"/>
  <c r="E26" i="35"/>
  <c r="H11" i="35"/>
  <c r="I11" i="35"/>
  <c r="E39" i="38" l="1"/>
  <c r="E37" i="38"/>
  <c r="E38" i="38"/>
  <c r="E47" i="38" s="1"/>
  <c r="E36" i="38"/>
  <c r="E46" i="38" s="1"/>
  <c r="E42" i="43"/>
  <c r="M41" i="43" l="1"/>
  <c r="M40" i="43"/>
  <c r="M39" i="43"/>
  <c r="L41" i="43"/>
  <c r="L40" i="43"/>
  <c r="L39" i="43"/>
  <c r="J39" i="43"/>
  <c r="J41" i="43"/>
  <c r="J40" i="43"/>
  <c r="H39" i="43"/>
  <c r="H41" i="43"/>
  <c r="H40" i="43"/>
  <c r="F40" i="43"/>
  <c r="F41" i="43"/>
  <c r="F39" i="43"/>
  <c r="E23" i="39" l="1"/>
  <c r="D72" i="37" l="1"/>
  <c r="D66" i="37"/>
  <c r="D67" i="37"/>
  <c r="D68" i="37" s="1"/>
  <c r="E16" i="44"/>
  <c r="D73" i="37"/>
  <c r="D71" i="37"/>
  <c r="E20" i="43"/>
  <c r="D47" i="43" s="1"/>
  <c r="C15" i="35"/>
  <c r="E17" i="46"/>
  <c r="E24" i="46"/>
  <c r="K17" i="35" s="1"/>
  <c r="C13" i="35"/>
  <c r="C19" i="35"/>
  <c r="C17" i="35"/>
  <c r="C9" i="35"/>
  <c r="C7" i="35"/>
  <c r="C6" i="35"/>
  <c r="E17" i="42"/>
  <c r="E27" i="42"/>
  <c r="E25" i="42"/>
  <c r="E19" i="41"/>
  <c r="E18" i="41"/>
  <c r="E24" i="40"/>
  <c r="E23" i="40"/>
  <c r="E24" i="39"/>
  <c r="D64" i="39"/>
  <c r="D68" i="38"/>
  <c r="I30" i="35"/>
  <c r="J29" i="35"/>
  <c r="J28" i="35"/>
  <c r="J27" i="35"/>
  <c r="J26" i="35"/>
  <c r="E18" i="48"/>
  <c r="K19" i="35" s="1"/>
  <c r="D71" i="42"/>
  <c r="D64" i="40"/>
  <c r="D50" i="37"/>
  <c r="D43" i="37"/>
  <c r="D45" i="37" s="1"/>
  <c r="D48" i="37" s="1"/>
  <c r="D30" i="37"/>
  <c r="D62" i="37" s="1"/>
  <c r="D26" i="37"/>
  <c r="D25" i="37"/>
  <c r="D17" i="37"/>
  <c r="E24" i="42" s="1"/>
  <c r="D10" i="37"/>
  <c r="E15" i="41"/>
  <c r="F26" i="35"/>
  <c r="I7" i="35"/>
  <c r="H7" i="35"/>
  <c r="G19" i="35"/>
  <c r="J19" i="35" s="1"/>
  <c r="I6" i="35"/>
  <c r="I9" i="35"/>
  <c r="I17" i="35"/>
  <c r="I15" i="35"/>
  <c r="I13" i="35"/>
  <c r="I10" i="35"/>
  <c r="I8" i="35"/>
  <c r="E28" i="35"/>
  <c r="F28" i="35" s="1"/>
  <c r="E27" i="35"/>
  <c r="F27" i="35" s="1"/>
  <c r="H17" i="35"/>
  <c r="H15" i="35"/>
  <c r="H13" i="35"/>
  <c r="H10" i="35"/>
  <c r="H9" i="35"/>
  <c r="H8" i="35"/>
  <c r="H6" i="35"/>
  <c r="E50" i="21"/>
  <c r="E50" i="24"/>
  <c r="D62" i="24" s="1"/>
  <c r="E50" i="11"/>
  <c r="D62" i="11" s="1"/>
  <c r="E51" i="21"/>
  <c r="D63" i="21" s="1"/>
  <c r="E49" i="24"/>
  <c r="E49" i="11"/>
  <c r="E18" i="21"/>
  <c r="E18" i="24"/>
  <c r="E17" i="24"/>
  <c r="E14" i="11"/>
  <c r="E13" i="11"/>
  <c r="E18" i="11"/>
  <c r="E17" i="11"/>
  <c r="E17" i="21"/>
  <c r="E15" i="24"/>
  <c r="E12" i="21"/>
  <c r="E13" i="24"/>
  <c r="E30" i="24" s="1"/>
  <c r="E15" i="11"/>
  <c r="E30" i="11" s="1"/>
  <c r="E41" i="11" s="1"/>
  <c r="E15" i="21"/>
  <c r="E14" i="24"/>
  <c r="E32" i="24" s="1"/>
  <c r="E11" i="21"/>
  <c r="E30" i="21" s="1"/>
  <c r="E16" i="21"/>
  <c r="E16" i="11"/>
  <c r="E16" i="24"/>
  <c r="E31" i="24" s="1"/>
  <c r="E29" i="35"/>
  <c r="E30" i="35" s="1"/>
  <c r="J8" i="35"/>
  <c r="E17" i="41"/>
  <c r="E20" i="46"/>
  <c r="E33" i="24"/>
  <c r="E31" i="11"/>
  <c r="E32" i="11"/>
  <c r="E33" i="11"/>
  <c r="E42" i="11" s="1"/>
  <c r="E21" i="40" l="1"/>
  <c r="E34" i="40" s="1"/>
  <c r="E16" i="41"/>
  <c r="E27" i="41" s="1"/>
  <c r="E22" i="39"/>
  <c r="E22" i="40"/>
  <c r="D28" i="37"/>
  <c r="D33" i="37" s="1"/>
  <c r="D74" i="37"/>
  <c r="D46" i="37"/>
  <c r="D49" i="37" s="1"/>
  <c r="E26" i="41"/>
  <c r="E34" i="41" s="1"/>
  <c r="K9" i="35" s="1"/>
  <c r="D31" i="37"/>
  <c r="D32" i="37"/>
  <c r="K29" i="35"/>
  <c r="K27" i="35"/>
  <c r="K28" i="35"/>
  <c r="K26" i="35"/>
  <c r="J15" i="35"/>
  <c r="J30" i="35"/>
  <c r="J9" i="35"/>
  <c r="J17" i="35"/>
  <c r="J11" i="35"/>
  <c r="E42" i="24"/>
  <c r="E33" i="21"/>
  <c r="J13" i="35"/>
  <c r="J7" i="35"/>
  <c r="J10" i="35"/>
  <c r="J6" i="35"/>
  <c r="E32" i="21"/>
  <c r="E42" i="21" s="1"/>
  <c r="E17" i="44"/>
  <c r="E16" i="43"/>
  <c r="E41" i="24"/>
  <c r="E31" i="21"/>
  <c r="E41" i="21" s="1"/>
  <c r="E19" i="42"/>
  <c r="E20" i="40"/>
  <c r="E33" i="40" s="1"/>
  <c r="F29" i="35"/>
  <c r="I19" i="35"/>
  <c r="I20" i="35" s="1"/>
  <c r="D27" i="37"/>
  <c r="D29" i="37"/>
  <c r="F30" i="35"/>
  <c r="E19" i="44"/>
  <c r="E32" i="44" s="1"/>
  <c r="E37" i="44" s="1"/>
  <c r="E17" i="43"/>
  <c r="E43" i="43" s="1"/>
  <c r="E14" i="44"/>
  <c r="E30" i="44" s="1"/>
  <c r="E35" i="44" s="1"/>
  <c r="D42" i="37" l="1"/>
  <c r="D36" i="37"/>
  <c r="E38" i="42"/>
  <c r="D35" i="37"/>
  <c r="E20" i="42"/>
  <c r="E39" i="42" s="1"/>
  <c r="D41" i="37"/>
  <c r="E21" i="42" s="1"/>
  <c r="K8" i="35"/>
  <c r="E42" i="40"/>
  <c r="K30" i="35"/>
  <c r="J20" i="35"/>
  <c r="E50" i="43"/>
  <c r="K13" i="35" s="1"/>
  <c r="K15" i="35"/>
  <c r="D60" i="37"/>
  <c r="D59" i="37"/>
  <c r="E15" i="42" s="1"/>
  <c r="E36" i="42" s="1"/>
  <c r="D34" i="37"/>
  <c r="E20" i="39" l="1"/>
  <c r="E34" i="39" s="1"/>
  <c r="J36" i="42"/>
  <c r="E21" i="39"/>
  <c r="E35" i="39" s="1"/>
  <c r="E16" i="42"/>
  <c r="E37" i="42" s="1"/>
  <c r="J37" i="42" s="1"/>
  <c r="K6" i="35" l="1"/>
  <c r="E49" i="42"/>
  <c r="K10" i="35" s="1"/>
  <c r="E42" i="39"/>
  <c r="K7" i="35" s="1"/>
  <c r="K20" i="35" s="1"/>
  <c r="K21" i="35" s="1"/>
</calcChain>
</file>

<file path=xl/sharedStrings.xml><?xml version="1.0" encoding="utf-8"?>
<sst xmlns="http://schemas.openxmlformats.org/spreadsheetml/2006/main" count="1313" uniqueCount="623">
  <si>
    <t>Emissions Category</t>
  </si>
  <si>
    <t>Energy</t>
  </si>
  <si>
    <t>square ft</t>
  </si>
  <si>
    <t>percent</t>
  </si>
  <si>
    <t>kwh/square foot</t>
  </si>
  <si>
    <t>therms/square feet</t>
  </si>
  <si>
    <t>kwh</t>
  </si>
  <si>
    <t xml:space="preserve">therms  </t>
  </si>
  <si>
    <t>total electricity savings (kWh)</t>
  </si>
  <si>
    <t>Sg=</t>
  </si>
  <si>
    <t>total natural gas savings (therms)</t>
  </si>
  <si>
    <t>= conversion factor for kWh to MWh (electricity equation) or from kg to metric tons (natural gas equation)</t>
  </si>
  <si>
    <t>= conversion factor for therm to MMBtu</t>
  </si>
  <si>
    <t>Strategy Description</t>
  </si>
  <si>
    <t>Key Assumptions for Cost Calculations</t>
  </si>
  <si>
    <t>Strategy Name</t>
  </si>
  <si>
    <t>Incentivize solar energy installation</t>
  </si>
  <si>
    <t>Promote PG&amp;E commercial and industrial energy efficiency/demand response programs</t>
  </si>
  <si>
    <t>Strategy E.1.1</t>
  </si>
  <si>
    <t>Strategy E.1.3</t>
  </si>
  <si>
    <t>Total GHG Emissions Savings by 2020=</t>
  </si>
  <si>
    <t>Se =</t>
  </si>
  <si>
    <t>1. Resource Savings:</t>
  </si>
  <si>
    <t>Total electricity savings by 2020=</t>
  </si>
  <si>
    <t>Total natural gas savings by 2020=</t>
  </si>
  <si>
    <t>Data Sources for Resource Savings and GHG Calculations</t>
  </si>
  <si>
    <t>Key Assumptions for Resource Savings and GHG Calculations</t>
  </si>
  <si>
    <t>Description</t>
  </si>
  <si>
    <t>#</t>
  </si>
  <si>
    <t>Unit</t>
  </si>
  <si>
    <t>Equation Variable</t>
  </si>
  <si>
    <t>E</t>
  </si>
  <si>
    <t>N</t>
  </si>
  <si>
    <t>Sa</t>
  </si>
  <si>
    <t>Sb</t>
  </si>
  <si>
    <t>2. GHG Calculations:</t>
  </si>
  <si>
    <t>3. Cost Calculations:</t>
  </si>
  <si>
    <t>Metric Tons/MWh</t>
  </si>
  <si>
    <t>kg CO2/MMBtu</t>
  </si>
  <si>
    <t>Efb</t>
  </si>
  <si>
    <t>Efa</t>
  </si>
  <si>
    <t xml:space="preserve">Total Emissions Savings (MT)= (Se/1000×Efa)+(Sg/10 × Efb/1000)  </t>
  </si>
  <si>
    <t>Total Cost by 2020=</t>
  </si>
  <si>
    <t>Total Cost by 2035=</t>
  </si>
  <si>
    <t>NCa</t>
  </si>
  <si>
    <t>2005 California End Use Survey http://www.energy.ca.gov/ceus/</t>
  </si>
  <si>
    <t>CALGreen Guidance: www.hcd.ca.gov/CALGreen.html</t>
  </si>
  <si>
    <t>Projection of GHG Emissions for California Utilities: http://www.pge.com/includes/docs/pdfs/mybusiness/energysavingsrebates/incentivesbyindustry/GHG_Emission_Factor_Guidance.pdf</t>
  </si>
  <si>
    <t>Residential and commercial electric and natural gas rates.  http://www.pge.com/about/news/topics/ratereduction.shtml</t>
  </si>
  <si>
    <t>State of Indiana. Green Building cost estimates.  https://bloomington.in.gov/green-building-costs</t>
  </si>
  <si>
    <t>RASS - California Statewide Residential Appliance Saturation Survey http://websafe.kemainc.com/RASS2009/Default.aspx</t>
  </si>
  <si>
    <t>Data Sources for Cost Calculations</t>
  </si>
  <si>
    <t>$</t>
  </si>
  <si>
    <t>Total commercial electricity savings by 2020=</t>
  </si>
  <si>
    <t>Total commercial natural gas savings by 2020=</t>
  </si>
  <si>
    <t>kwh/year</t>
  </si>
  <si>
    <t>therms/year</t>
  </si>
  <si>
    <t>Total commercial electricity savings by 2030=</t>
  </si>
  <si>
    <t>Total commercial natural gas savings by 2030=</t>
  </si>
  <si>
    <t>Total GHG Emissions Savings by 2030=</t>
  </si>
  <si>
    <t>Total natural gas savings by 2030=</t>
  </si>
  <si>
    <t>Pursue Funding to Establish City Revolving Loan Fund for Energy-Efficient Retrofits – Commercial Uses</t>
  </si>
  <si>
    <t>Total Cost $= (Investment cost) - (cost savings)</t>
  </si>
  <si>
    <t>square ft.</t>
  </si>
  <si>
    <t>Target Percentage of Electricity Savings</t>
  </si>
  <si>
    <t>%</t>
  </si>
  <si>
    <t>Target Percentage of Natural Gas Energy Savings</t>
  </si>
  <si>
    <t>Ce</t>
  </si>
  <si>
    <t>Cn</t>
  </si>
  <si>
    <t>therms /year</t>
  </si>
  <si>
    <t>Commercial Square Feet Upgraded by 2020</t>
  </si>
  <si>
    <r>
      <t>Csf</t>
    </r>
    <r>
      <rPr>
        <vertAlign val="subscript"/>
        <sz val="11"/>
        <color indexed="8"/>
        <rFont val="Calibri"/>
        <family val="2"/>
      </rPr>
      <t>2020</t>
    </r>
  </si>
  <si>
    <t>metric tons CO2</t>
  </si>
  <si>
    <t>percent savings</t>
  </si>
  <si>
    <t>square feet</t>
  </si>
  <si>
    <t>Target for gas savings</t>
  </si>
  <si>
    <t>Ee</t>
  </si>
  <si>
    <t>Eg</t>
  </si>
  <si>
    <t>Commercial space upgraded by 2020</t>
  </si>
  <si>
    <t>Commercial space upgraded by 2030</t>
  </si>
  <si>
    <r>
      <t>Csf</t>
    </r>
    <r>
      <rPr>
        <vertAlign val="subscript"/>
        <sz val="11"/>
        <color indexed="8"/>
        <rFont val="Calibri"/>
        <family val="2"/>
      </rPr>
      <t>2030</t>
    </r>
  </si>
  <si>
    <r>
      <t>Csf</t>
    </r>
    <r>
      <rPr>
        <vertAlign val="subscript"/>
        <sz val="11"/>
        <color indexed="8"/>
        <rFont val="Calibri"/>
        <family val="2"/>
      </rPr>
      <t>2020</t>
    </r>
  </si>
  <si>
    <r>
      <t>Electricity Savings (kWh): Ee x (Csf</t>
    </r>
    <r>
      <rPr>
        <vertAlign val="subscript"/>
        <sz val="11"/>
        <color indexed="8"/>
        <rFont val="Calibri"/>
        <family val="2"/>
      </rPr>
      <t xml:space="preserve">2020 </t>
    </r>
    <r>
      <rPr>
        <sz val="11"/>
        <color theme="1"/>
        <rFont val="Calibri"/>
        <family val="2"/>
        <scheme val="minor"/>
      </rPr>
      <t>x E)
Natural Gas Savings (therms) = Eg x (Csf</t>
    </r>
    <r>
      <rPr>
        <vertAlign val="subscript"/>
        <sz val="11"/>
        <color indexed="8"/>
        <rFont val="Calibri"/>
        <family val="2"/>
      </rPr>
      <t>2020</t>
    </r>
    <r>
      <rPr>
        <sz val="11"/>
        <color theme="1"/>
        <rFont val="Calibri"/>
        <family val="2"/>
        <scheme val="minor"/>
      </rPr>
      <t xml:space="preserve"> x N)
Electricity Savings (kWh): Ee x (Csf</t>
    </r>
    <r>
      <rPr>
        <vertAlign val="subscript"/>
        <sz val="11"/>
        <color indexed="8"/>
        <rFont val="Calibri"/>
        <family val="2"/>
      </rPr>
      <t xml:space="preserve">2030 </t>
    </r>
    <r>
      <rPr>
        <sz val="11"/>
        <color theme="1"/>
        <rFont val="Calibri"/>
        <family val="2"/>
        <scheme val="minor"/>
      </rPr>
      <t>x E)
Natural Gas Savings (therms) = Eg x (Csf</t>
    </r>
    <r>
      <rPr>
        <vertAlign val="subscript"/>
        <sz val="11"/>
        <color indexed="8"/>
        <rFont val="Calibri"/>
        <family val="2"/>
      </rPr>
      <t>2030</t>
    </r>
    <r>
      <rPr>
        <sz val="11"/>
        <color theme="1"/>
        <rFont val="Calibri"/>
        <family val="2"/>
        <scheme val="minor"/>
      </rPr>
      <t xml:space="preserve"> x N)
</t>
    </r>
  </si>
  <si>
    <t>Projection of GHG Emissions for California Utilities - http://www.pge.com/includes/docs/pdfs/mybusiness/energysavingsrebates/incentivesbyindustry/GHG_Emission_Factor_Guidance.pdf</t>
  </si>
  <si>
    <t>Commercial Square Feet Upgraded by 2030</t>
  </si>
  <si>
    <r>
      <t>Csf</t>
    </r>
    <r>
      <rPr>
        <vertAlign val="subscript"/>
        <sz val="11"/>
        <color indexed="8"/>
        <rFont val="Calibri"/>
        <family val="2"/>
      </rPr>
      <t>2030</t>
    </r>
  </si>
  <si>
    <r>
      <t>Commercial Electricity Energy Savings (kWh)=E × Csf</t>
    </r>
    <r>
      <rPr>
        <vertAlign val="subscript"/>
        <sz val="11"/>
        <color indexed="8"/>
        <rFont val="Calibri"/>
        <family val="2"/>
      </rPr>
      <t>2020</t>
    </r>
    <r>
      <rPr>
        <sz val="11"/>
        <color theme="1"/>
        <rFont val="Calibri"/>
        <family val="2"/>
        <scheme val="minor"/>
      </rPr>
      <t xml:space="preserve"> × Ce
Commercial Natural Gas Savings (therms)=N × Csf</t>
    </r>
    <r>
      <rPr>
        <vertAlign val="subscript"/>
        <sz val="11"/>
        <color indexed="8"/>
        <rFont val="Calibri"/>
        <family val="2"/>
      </rPr>
      <t>2020</t>
    </r>
    <r>
      <rPr>
        <sz val="11"/>
        <color theme="1"/>
        <rFont val="Calibri"/>
        <family val="2"/>
        <scheme val="minor"/>
      </rPr>
      <t xml:space="preserve"> × Cn
Commercial Electricity Energy Savings (kWh)=E × Csf</t>
    </r>
    <r>
      <rPr>
        <vertAlign val="subscript"/>
        <sz val="11"/>
        <color indexed="8"/>
        <rFont val="Calibri"/>
        <family val="2"/>
      </rPr>
      <t>2030</t>
    </r>
    <r>
      <rPr>
        <sz val="11"/>
        <color theme="1"/>
        <rFont val="Calibri"/>
        <family val="2"/>
        <scheme val="minor"/>
      </rPr>
      <t xml:space="preserve"> × Ce
Commercial Natural Gas Savings (therms)=N × Csf</t>
    </r>
    <r>
      <rPr>
        <vertAlign val="subscript"/>
        <sz val="11"/>
        <color indexed="8"/>
        <rFont val="Calibri"/>
        <family val="2"/>
      </rPr>
      <t>2030</t>
    </r>
    <r>
      <rPr>
        <sz val="11"/>
        <color theme="1"/>
        <rFont val="Calibri"/>
        <family val="2"/>
        <scheme val="minor"/>
      </rPr>
      <t xml:space="preserve"> × Cn
</t>
    </r>
  </si>
  <si>
    <t>Strategy GHG and Cost Analysis Worksheet: E.3.1</t>
  </si>
  <si>
    <t>Assumed 2% of 2005 non-residential square footage by 2020 (see Square Footage Calculations in Oakdale Buildout Table in Project Library)</t>
  </si>
  <si>
    <t>Assumed 4% of 2005 non-residential square footage by 2030</t>
  </si>
  <si>
    <r>
      <t xml:space="preserve">Explore the establishment of revolving funds to finance energy-efficiency retrofits at businesses.
</t>
    </r>
    <r>
      <rPr>
        <i/>
        <sz val="11"/>
        <color indexed="8"/>
        <rFont val="Calibri"/>
        <family val="2"/>
      </rPr>
      <t>Responsible Agency: Department of Community Development
Next Steps: Conduct feasibility study of such a revolving fund.  Develop guidelines for eligibility of recipients and energy measures.  Discuss the possibililty with City Council members.</t>
    </r>
  </si>
  <si>
    <t>Average hourly rate for City employees</t>
  </si>
  <si>
    <t>Average annual salary for City employees</t>
  </si>
  <si>
    <t>Annual FTE</t>
  </si>
  <si>
    <t>Upfront FTE</t>
  </si>
  <si>
    <t>Up-front FTE</t>
  </si>
  <si>
    <t>Up-front Capital Cost</t>
  </si>
  <si>
    <t>Impact Analysis: 2008 Update to the California Energy Efficiency Standards for Residential and Nonresidential Buildings http://www.energy.ca.gov/title24/2008standards/rulemaking/documents/2007-11-07_IMPACT_ANALYSIS.PDF</t>
  </si>
  <si>
    <t>Electricity emission factor (MT CO2/MWh)</t>
  </si>
  <si>
    <t>Pursue Funding to Establish City Revolving Loan Fund for Energy-Efficient Retrofits – Residential</t>
  </si>
  <si>
    <t>Strategy E.1.5</t>
  </si>
  <si>
    <t>Strategy E.1.6</t>
  </si>
  <si>
    <t>Improve Industrial Equipment Energy Efficiency</t>
  </si>
  <si>
    <t>Update School Infrastructure for Greater Energy Efficiency</t>
  </si>
  <si>
    <t>Pursue basic actions for school energy conservation. Assume other measures do not include schools.</t>
  </si>
  <si>
    <t>Establish and Monitor Voluntary Shade Tree Program</t>
  </si>
  <si>
    <t>R</t>
  </si>
  <si>
    <t>Natural Gas emission factor (kg CO2/MMBtu)</t>
  </si>
  <si>
    <t>Assumed 5% of 2005 non-residential square footage is affected by 2020</t>
  </si>
  <si>
    <t>Assumed 5% of 2005 non-residential square footage is affected by 2030</t>
  </si>
  <si>
    <t>Target for electricity savings</t>
  </si>
  <si>
    <t>Residential space upgraded by 2020</t>
  </si>
  <si>
    <t>Residential space upgraded by 2030</t>
  </si>
  <si>
    <t>Strategy GHG and Cost Analysis Worksheet: E.3.2</t>
  </si>
  <si>
    <t>Oakdale electric use intensity factor for res. buildings in kWh/sq ft.</t>
  </si>
  <si>
    <t>Oakdale natural gas intensity factor for res. buildings in therms/sq ft.</t>
  </si>
  <si>
    <t>Oakdale electric use intensity factor for comm. buildings in kWh/sq ft.</t>
  </si>
  <si>
    <t>Oakdale natural gas use intensity factor for comm. buildings in therms/sq ft.</t>
  </si>
  <si>
    <t>Strategy GHG and Cost Analysis Worksheet: E.1.X</t>
  </si>
  <si>
    <t>Promote Commercial / Industrial Energy Efficiency Rebates, Programs, and Benchmarking</t>
  </si>
  <si>
    <t>Total Annual Cost = (Upfront Cost / 8 Year Investment Period) + Annual Labor Cost</t>
  </si>
  <si>
    <r>
      <rPr>
        <strike/>
        <vertAlign val="superscript"/>
        <sz val="11"/>
        <color indexed="8"/>
        <rFont val="Calibri"/>
        <family val="2"/>
      </rPr>
      <t>2</t>
    </r>
    <r>
      <rPr>
        <strike/>
        <sz val="11"/>
        <color indexed="8"/>
        <rFont val="Calibri"/>
        <family val="2"/>
      </rPr>
      <t>See Impact Analysis: 2008 Update to the California Energy Efficiency Standards for Residential and Nonresidential Buildings http://www.energy.ca.gov/title24/2008standards/rulemaking/documents/2007-11-07_IMPACT_ANALYSIS.PDF</t>
    </r>
  </si>
  <si>
    <t>Expand Green Building and Energy Efficient Design for New Residential Development</t>
  </si>
  <si>
    <t>Hughson electric use intensity factor for comm. buildings in kWh/sq ft.</t>
  </si>
  <si>
    <t>Renewable Portfolio Standard (RPS) Adjustment Factor</t>
  </si>
  <si>
    <t>F</t>
  </si>
  <si>
    <t>LU&amp;T</t>
  </si>
  <si>
    <t xml:space="preserve">TOTAL </t>
  </si>
  <si>
    <t>Needed to reach target</t>
  </si>
  <si>
    <t>sector % 2020</t>
  </si>
  <si>
    <t>Strategy T.1.1</t>
  </si>
  <si>
    <t>Implement Voluntary Local Commute Trip Reduction Program</t>
  </si>
  <si>
    <t>Strategy LU.1.1</t>
  </si>
  <si>
    <t>Encourage Higher Density and Mixed Use Growth Patterns</t>
  </si>
  <si>
    <t>Goal T1. Reduce Single-Occupancy Vehicle Travel</t>
  </si>
  <si>
    <t>Goal T5. Promote Sustainable Growth Patterns</t>
  </si>
  <si>
    <t>Goal SW.1: Reduce Community Solid Waste Sent to Landfill</t>
  </si>
  <si>
    <t>Strategy SW.1.1</t>
  </si>
  <si>
    <t>Reduced Total Community Waste Tonnage Sent to Landfill by 20%</t>
  </si>
  <si>
    <t>Goal W.1: Increase Community Water Conservation</t>
  </si>
  <si>
    <t>Strategy W.1.1</t>
  </si>
  <si>
    <t>Reduce Community Water Consumption by 20%.</t>
  </si>
  <si>
    <t>Metric</t>
  </si>
  <si>
    <t>% Increase in residential units/acre by 2020</t>
  </si>
  <si>
    <t>% Reduction in Water Consumption 2020, relative to 2005</t>
  </si>
  <si>
    <t>Strategy #</t>
  </si>
  <si>
    <t>Energy Goal E.1: Increase Building and Equipment Efficiency Community-Wide</t>
  </si>
  <si>
    <t>Solid Waste</t>
  </si>
  <si>
    <t>Water</t>
  </si>
  <si>
    <t>E.1.1</t>
  </si>
  <si>
    <t>E.1.3</t>
  </si>
  <si>
    <t>E.1.5</t>
  </si>
  <si>
    <t>* Proportion of new homes that are assumed to meet 15% above Title 24</t>
  </si>
  <si>
    <t>* Existing Commercial Square Feet Upgraded by 2020
* Post-2005 Commercial Square Feet Upgraded by 2020</t>
  </si>
  <si>
    <t>* Commercial Square Feet Upgraded by 2020</t>
  </si>
  <si>
    <t>* % Reduction in Per Capita Community Waste Sent to Landfill in 2020, relative to 2005</t>
  </si>
  <si>
    <t>* % Reduction in Water Consumption 2020, relative to 2005</t>
  </si>
  <si>
    <t>E.1.6</t>
  </si>
  <si>
    <t>T.1.1</t>
  </si>
  <si>
    <t>LU.1.1</t>
  </si>
  <si>
    <t>SW.1.1</t>
  </si>
  <si>
    <t>W.1.1</t>
  </si>
  <si>
    <t>Waste</t>
  </si>
  <si>
    <t>MT CO2e</t>
  </si>
  <si>
    <t>Strategy E.1.2</t>
  </si>
  <si>
    <t>Promote Residential Energy Energy Efficiency Rebates, Programs, and Benchmarking</t>
  </si>
  <si>
    <t>Participate in Energy Upgrade Program and promote existing rebates (PG&amp;E, State, Federal)</t>
  </si>
  <si>
    <t>* Existing Residential Square Feet Upgraded by 2020</t>
  </si>
  <si>
    <t>% of 2020  target</t>
  </si>
  <si>
    <t>% of 2020 CAP reductions</t>
  </si>
  <si>
    <t>Sector</t>
  </si>
  <si>
    <t>% of target</t>
  </si>
  <si>
    <t>Existing Residential Square Feet Upgraded by 2020</t>
  </si>
  <si>
    <t>Monitoring Metric(s)</t>
  </si>
  <si>
    <t>Common Factors</t>
  </si>
  <si>
    <t>Factors with a pale yellow background color are not subject to change for Hughson. Factors with a pale green background color are subject to modification, based on the implementation depth of the particular reduction strategy.</t>
  </si>
  <si>
    <t>Factor names with a blue background are subject to change for other jurisdictions (subject to modification per the Model CAP tool).</t>
  </si>
  <si>
    <t>Direct Data Source</t>
  </si>
  <si>
    <t>Basic Unit Factors</t>
  </si>
  <si>
    <t>Hours in a year</t>
  </si>
  <si>
    <t>Hours of daylight in a year</t>
  </si>
  <si>
    <t>Pounds per Metric Ton</t>
  </si>
  <si>
    <t>Kwh per Mwh</t>
  </si>
  <si>
    <t>lbs of CO2 emissions from 1 therm of natural gas</t>
  </si>
  <si>
    <t>GHG Emission Factors</t>
  </si>
  <si>
    <t>TID Electricity emission factor (lbs/kWh)</t>
  </si>
  <si>
    <r>
      <t>lbs CO</t>
    </r>
    <r>
      <rPr>
        <vertAlign val="subscript"/>
        <sz val="11"/>
        <color indexed="8"/>
        <rFont val="Calibri"/>
        <family val="2"/>
      </rPr>
      <t>2</t>
    </r>
    <r>
      <rPr>
        <sz val="11"/>
        <color theme="1"/>
        <rFont val="Calibri"/>
        <family val="2"/>
        <scheme val="minor"/>
      </rPr>
      <t>/kWh</t>
    </r>
  </si>
  <si>
    <t>CCAR Reported 2006 Value for TID (Also used by ICF)</t>
  </si>
  <si>
    <t>TID Emission Factor (MT/MWh)</t>
  </si>
  <si>
    <r>
      <t>MT CO</t>
    </r>
    <r>
      <rPr>
        <vertAlign val="subscript"/>
        <sz val="11"/>
        <color indexed="8"/>
        <rFont val="Calibri"/>
        <family val="2"/>
      </rPr>
      <t>2</t>
    </r>
    <r>
      <rPr>
        <sz val="11"/>
        <color theme="1"/>
        <rFont val="Calibri"/>
        <family val="2"/>
        <scheme val="minor"/>
      </rPr>
      <t>/MWh</t>
    </r>
  </si>
  <si>
    <t>TID Electricity emission factor (lbs/MWh)</t>
  </si>
  <si>
    <r>
      <t>lbs CH</t>
    </r>
    <r>
      <rPr>
        <vertAlign val="subscript"/>
        <sz val="11"/>
        <color indexed="8"/>
        <rFont val="Calibri"/>
        <family val="2"/>
      </rPr>
      <t>4</t>
    </r>
    <r>
      <rPr>
        <sz val="11"/>
        <color theme="1"/>
        <rFont val="Calibri"/>
        <family val="2"/>
        <scheme val="minor"/>
      </rPr>
      <t>/MWh</t>
    </r>
  </si>
  <si>
    <t>EPA E-Grid Values for California (Also used by ICF)</t>
  </si>
  <si>
    <r>
      <t>lbs N</t>
    </r>
    <r>
      <rPr>
        <vertAlign val="subscript"/>
        <sz val="11"/>
        <color indexed="8"/>
        <rFont val="Calibri"/>
        <family val="2"/>
      </rPr>
      <t>2</t>
    </r>
    <r>
      <rPr>
        <sz val="11"/>
        <color theme="1"/>
        <rFont val="Calibri"/>
        <family val="2"/>
        <scheme val="minor"/>
      </rPr>
      <t>O/MWh</t>
    </r>
  </si>
  <si>
    <t>Natural Gas emission factor (kg/MMBtu)</t>
  </si>
  <si>
    <t>LGOP, Table G.1, 'Pipeline (US Weighted average)'</t>
  </si>
  <si>
    <t>kg CH4/MMBTU</t>
  </si>
  <si>
    <t>LGOP, Table G.3, 'Commercial' and 'Residential'</t>
  </si>
  <si>
    <t>kg N2O/MMBTu</t>
  </si>
  <si>
    <t>Projected City Growth Factors</t>
  </si>
  <si>
    <t>Average Square Feet Per Residential Unit (Existing Housing Stock)</t>
  </si>
  <si>
    <t>See California Statewide Residential Appliance Saturation Study, page 10</t>
  </si>
  <si>
    <t>Average Square Feet Per Residential Unit (New Housing Stock)</t>
  </si>
  <si>
    <t>2005 Residential Square Feet</t>
  </si>
  <si>
    <t>Housing*Average Sq. Ft. Per Residential Unit</t>
  </si>
  <si>
    <t>2020 Residential Square Feet</t>
  </si>
  <si>
    <t>2030 Residential Square Feet</t>
  </si>
  <si>
    <t>2005 Non-Residential Square Feet</t>
  </si>
  <si>
    <t>Source: GP EIR: 435,000 sf of industrial, 237,000 sf of commercial, and 360,000 sf of public uses.</t>
  </si>
  <si>
    <t>2020 Non-Residential Square Feet</t>
  </si>
  <si>
    <t>2030 Non-Residential Square Feet</t>
  </si>
  <si>
    <t>Total square feet of new construction residential space from 2005 to 2020</t>
  </si>
  <si>
    <t>Total square feet of new construction residential space from 2005 to 2030</t>
  </si>
  <si>
    <t>Total sq. feet of new construction commercial space from 2005 to 2020</t>
  </si>
  <si>
    <t>Total sq. feet of new construction commercial space from 2005 to 2030</t>
  </si>
  <si>
    <t>Total # of housing units in the City in 2005</t>
  </si>
  <si>
    <t>Housing Units</t>
  </si>
  <si>
    <t>Source: ICF Inventory</t>
  </si>
  <si>
    <t>Total # of housing units in the City in 2020</t>
  </si>
  <si>
    <t>Source: StanCOG 'Un-adopted' Projections</t>
  </si>
  <si>
    <t>Total # of housing units in the City in 2030</t>
  </si>
  <si>
    <t>Total # of commerical units in the City in 2005</t>
  </si>
  <si>
    <t>units</t>
  </si>
  <si>
    <t>US Economis Census, Average of 2002 and 2007 totals</t>
  </si>
  <si>
    <t>Total # of commercial units in 2020</t>
  </si>
  <si>
    <t>Total # of commercial units in 2030</t>
  </si>
  <si>
    <t>City Square Mileage</t>
  </si>
  <si>
    <t>sq. mile</t>
  </si>
  <si>
    <t>Source: U.S. Census</t>
  </si>
  <si>
    <t>City Sphere-of-Influence (SOI) Square Mileage</t>
  </si>
  <si>
    <t>Hughson 2005 General Plan, page I-5</t>
  </si>
  <si>
    <t>City of Hughson Acres in 2005</t>
  </si>
  <si>
    <t>Acres</t>
  </si>
  <si>
    <t>City of Hughson Acres in 2020</t>
  </si>
  <si>
    <t>City of Hughson Acres in 2030</t>
  </si>
  <si>
    <t>Housing Units per Acre in 2005</t>
  </si>
  <si>
    <t>units per acre</t>
  </si>
  <si>
    <t>Housing Units per Acre in 2020</t>
  </si>
  <si>
    <t>Housing Units per Acre in 2030</t>
  </si>
  <si>
    <t>California State Energy Intensity Factors</t>
  </si>
  <si>
    <t>Avg. electric use intensity for res. buildings in kWh/sq ft. - California</t>
  </si>
  <si>
    <t>RASS</t>
  </si>
  <si>
    <t>http://websafe.kemainc.com/RASS2009/Default.aspx</t>
  </si>
  <si>
    <t>Avg. electric use intensity for comm. buildings in kWh/sq ft. - California</t>
  </si>
  <si>
    <t>(2005 California Land Use Survey)</t>
  </si>
  <si>
    <t>Avg. natural gas usage intensity for comm. buildings in therms/sq ft - California</t>
  </si>
  <si>
    <t>City of Hughson (Derived) Energy Intensity Factors</t>
  </si>
  <si>
    <t>City electric use intensity factor for res. buildings in kWh/sq ft.</t>
  </si>
  <si>
    <t>Based on 2005 Residential Square Footage and Provided Electricity TID Data ("Domestic" class)</t>
  </si>
  <si>
    <t>City natural gas intensity factor for res. buildings in therms/sq ft.</t>
  </si>
  <si>
    <t>Based on 2005 Residential Square Footage and Provided Natural Gas Data ("Residential" class)</t>
  </si>
  <si>
    <t>City electric use intensity factor for comm. buildings in kWh/sq ft.</t>
  </si>
  <si>
    <t>Based on 2005 Non-Residential Square Footage and Provided Electricity TID Data (Non-Domestic classes, excluding municipal)</t>
  </si>
  <si>
    <t>City natural gas use intensity factor for comm. buildings in therms/sq ft.</t>
  </si>
  <si>
    <t>Based on 2005 Non-Residential Square Footage and Provided Natural Gas Data ("Commercial" class)</t>
  </si>
  <si>
    <t>Cost Factors</t>
  </si>
  <si>
    <t>BLS U.S. Department of Labor: Average Stanislaus County Salary</t>
  </si>
  <si>
    <t>Salary</t>
  </si>
  <si>
    <t xml:space="preserve">based on Bureau of Labor Statistics U.S. Department of Labor, County Employement and Wages (News Release). Released on March 28, 2012. </t>
  </si>
  <si>
    <t>BLS U.S. Department of Labor: Average Stanislaus County Hourly Rate</t>
  </si>
  <si>
    <t>Hourly Rate</t>
  </si>
  <si>
    <t>Other</t>
  </si>
  <si>
    <t>Residential Green Building Standards</t>
  </si>
  <si>
    <t>Hughson electric use intensity factor for res. buildings in kWh/sq ft.</t>
  </si>
  <si>
    <t>Hughson natural gas intensity factor for res. buildings in therms/sq ft.</t>
  </si>
  <si>
    <t>Residential Energy Efficiency Promotion</t>
  </si>
  <si>
    <r>
      <t>Rsf</t>
    </r>
    <r>
      <rPr>
        <vertAlign val="subscript"/>
        <sz val="11"/>
        <color indexed="8"/>
        <rFont val="Calibri"/>
        <family val="2"/>
      </rPr>
      <t>2020</t>
    </r>
  </si>
  <si>
    <r>
      <t>Target Percentage of Electricity Savings</t>
    </r>
    <r>
      <rPr>
        <vertAlign val="superscript"/>
        <sz val="11"/>
        <color indexed="8"/>
        <rFont val="Calibri"/>
        <family val="2"/>
      </rPr>
      <t>1</t>
    </r>
  </si>
  <si>
    <r>
      <t>Target Percentage of Natural Gas Energy Savings</t>
    </r>
    <r>
      <rPr>
        <vertAlign val="superscript"/>
        <sz val="11"/>
        <color indexed="8"/>
        <rFont val="Calibri"/>
        <family val="2"/>
      </rPr>
      <t>1</t>
    </r>
  </si>
  <si>
    <t>Re</t>
  </si>
  <si>
    <t>Rn</t>
  </si>
  <si>
    <r>
      <rPr>
        <vertAlign val="superscript"/>
        <sz val="11"/>
        <color indexed="8"/>
        <rFont val="Calibri"/>
        <family val="2"/>
      </rPr>
      <t>1</t>
    </r>
    <r>
      <rPr>
        <sz val="11"/>
        <color theme="1"/>
        <rFont val="Calibri"/>
        <family val="2"/>
        <scheme val="minor"/>
      </rPr>
      <t xml:space="preserve">Based on NRDC estimates of the long-term, annual energy reduction impact of individual performance benchmarking </t>
    </r>
  </si>
  <si>
    <t>Natural Resource Defense Council. Propery Assessed Clean Energy Programs White Paper: http://pacenow.org/documents/PACE%20White%20Paper%20May%203%20update.pdf</t>
  </si>
  <si>
    <t>Total residential electricity savings by 2020=</t>
  </si>
  <si>
    <t>Total residential natural gas savings by 2020=</t>
  </si>
  <si>
    <t>Commercial Energy Efficiency Promotion</t>
  </si>
  <si>
    <t>Post-2005 Commercial Square Feet Upgraded by 2020</t>
  </si>
  <si>
    <r>
      <t>Csg</t>
    </r>
    <r>
      <rPr>
        <vertAlign val="subscript"/>
        <sz val="11"/>
        <color indexed="8"/>
        <rFont val="Calibri"/>
        <family val="2"/>
      </rPr>
      <t>2020</t>
    </r>
  </si>
  <si>
    <r>
      <t>Target Percentage of Electricity Savings for Existing Businesses</t>
    </r>
    <r>
      <rPr>
        <vertAlign val="superscript"/>
        <sz val="11"/>
        <color indexed="8"/>
        <rFont val="Calibri"/>
        <family val="2"/>
      </rPr>
      <t>3</t>
    </r>
  </si>
  <si>
    <r>
      <t>Target Percentage of Natural Gas Energy Savings for Existing Businesses</t>
    </r>
    <r>
      <rPr>
        <vertAlign val="superscript"/>
        <sz val="11"/>
        <color indexed="8"/>
        <rFont val="Calibri"/>
        <family val="2"/>
      </rPr>
      <t>3</t>
    </r>
  </si>
  <si>
    <r>
      <t>Target Percentage of Electricity Savings for Post-2005 Businesses</t>
    </r>
    <r>
      <rPr>
        <vertAlign val="superscript"/>
        <sz val="11"/>
        <color indexed="8"/>
        <rFont val="Calibri"/>
        <family val="2"/>
      </rPr>
      <t>3</t>
    </r>
  </si>
  <si>
    <t>G</t>
  </si>
  <si>
    <r>
      <t>Target Percentage of Natural Gas Energy Savings for Post-2005 Businesses</t>
    </r>
    <r>
      <rPr>
        <vertAlign val="superscript"/>
        <sz val="11"/>
        <color indexed="8"/>
        <rFont val="Calibri"/>
        <family val="2"/>
      </rPr>
      <t>3</t>
    </r>
  </si>
  <si>
    <t>M</t>
  </si>
  <si>
    <t>Hughson natural gas use intensity factor for comm. buildings in therms/sq ft.</t>
  </si>
  <si>
    <r>
      <rPr>
        <b/>
        <sz val="11"/>
        <color indexed="8"/>
        <rFont val="Calibri"/>
        <family val="2"/>
      </rPr>
      <t>Promote Residential Energy Efficiency:</t>
    </r>
    <r>
      <rPr>
        <sz val="11"/>
        <color theme="1"/>
        <rFont val="Calibri"/>
        <family val="2"/>
        <scheme val="minor"/>
      </rPr>
      <t xml:space="preserve">
Commercial Electricity Energy Savings (kWh)=(E × Csf × Ce)+(G x Csg x Ce) x F
Commercial Natural Gas Savings (therms)= (N × Csf × Cn)+(M x Csg x Cn) x F
</t>
    </r>
  </si>
  <si>
    <t>Industrial Equipment Energy Efficiency Promotion</t>
  </si>
  <si>
    <t xml:space="preserve">  </t>
  </si>
  <si>
    <r>
      <rPr>
        <b/>
        <sz val="11"/>
        <color indexed="8"/>
        <rFont val="Calibri"/>
        <family val="2"/>
      </rPr>
      <t>Improve Industrial Equipment Energy Efficiency:</t>
    </r>
    <r>
      <rPr>
        <sz val="11"/>
        <color theme="1"/>
        <rFont val="Calibri"/>
        <family val="2"/>
        <scheme val="minor"/>
      </rPr>
      <t xml:space="preserve">
Commercial Electricity Energy Savings (kWh)=E × Csf</t>
    </r>
    <r>
      <rPr>
        <vertAlign val="subscript"/>
        <sz val="11"/>
        <color indexed="8"/>
        <rFont val="Calibri"/>
        <family val="2"/>
      </rPr>
      <t>2020</t>
    </r>
    <r>
      <rPr>
        <sz val="11"/>
        <color theme="1"/>
        <rFont val="Calibri"/>
        <family val="2"/>
        <scheme val="minor"/>
      </rPr>
      <t xml:space="preserve"> × Ce x F
Commercial Natural Gas Savings (therms)=N × Csf</t>
    </r>
    <r>
      <rPr>
        <vertAlign val="subscript"/>
        <sz val="11"/>
        <color indexed="8"/>
        <rFont val="Calibri"/>
        <family val="2"/>
      </rPr>
      <t>2020</t>
    </r>
    <r>
      <rPr>
        <sz val="11"/>
        <color theme="1"/>
        <rFont val="Calibri"/>
        <family val="2"/>
        <scheme val="minor"/>
      </rPr>
      <t xml:space="preserve"> × Cn
Commercial Electricity Energy Savings (kWh)=E × Csf</t>
    </r>
    <r>
      <rPr>
        <vertAlign val="subscript"/>
        <sz val="11"/>
        <color indexed="8"/>
        <rFont val="Calibri"/>
        <family val="2"/>
      </rPr>
      <t>2030</t>
    </r>
    <r>
      <rPr>
        <sz val="11"/>
        <color theme="1"/>
        <rFont val="Calibri"/>
        <family val="2"/>
        <scheme val="minor"/>
      </rPr>
      <t xml:space="preserve"> × Ce x F
Commercial Natural Gas Savings (therms)=N × Csf</t>
    </r>
    <r>
      <rPr>
        <vertAlign val="subscript"/>
        <sz val="11"/>
        <color indexed="8"/>
        <rFont val="Calibri"/>
        <family val="2"/>
      </rPr>
      <t>2030</t>
    </r>
    <r>
      <rPr>
        <sz val="11"/>
        <color theme="1"/>
        <rFont val="Calibri"/>
        <family val="2"/>
        <scheme val="minor"/>
      </rPr>
      <t xml:space="preserve"> × Cn
</t>
    </r>
  </si>
  <si>
    <t>Shade Trees</t>
  </si>
  <si>
    <t>Projected Residential Electricity Use in 2020</t>
  </si>
  <si>
    <r>
      <t>Re</t>
    </r>
    <r>
      <rPr>
        <vertAlign val="subscript"/>
        <sz val="11"/>
        <color indexed="8"/>
        <rFont val="Calibri"/>
        <family val="2"/>
      </rPr>
      <t>2020</t>
    </r>
  </si>
  <si>
    <t>Projected Residential Natural Gas Use in 2020</t>
  </si>
  <si>
    <r>
      <t>Rg</t>
    </r>
    <r>
      <rPr>
        <vertAlign val="subscript"/>
        <sz val="11"/>
        <color indexed="8"/>
        <rFont val="Calibri"/>
        <family val="2"/>
      </rPr>
      <t>2020</t>
    </r>
  </si>
  <si>
    <t>Number of Housing Units in 2020</t>
  </si>
  <si>
    <t>housing units</t>
  </si>
  <si>
    <r>
      <t>H</t>
    </r>
    <r>
      <rPr>
        <vertAlign val="subscript"/>
        <sz val="11"/>
        <color indexed="8"/>
        <rFont val="Calibri"/>
        <family val="2"/>
      </rPr>
      <t>2020</t>
    </r>
  </si>
  <si>
    <r>
      <t>Hp</t>
    </r>
    <r>
      <rPr>
        <vertAlign val="subscript"/>
        <sz val="11"/>
        <color indexed="8"/>
        <rFont val="Calibri"/>
        <family val="2"/>
      </rPr>
      <t>2020</t>
    </r>
  </si>
  <si>
    <t>Projected Commercial Electricity Use in 2020</t>
  </si>
  <si>
    <r>
      <t>Ce</t>
    </r>
    <r>
      <rPr>
        <vertAlign val="subscript"/>
        <sz val="11"/>
        <color indexed="8"/>
        <rFont val="Calibri"/>
        <family val="2"/>
      </rPr>
      <t>2020</t>
    </r>
  </si>
  <si>
    <t>Projected Commercial Natural Gas Use in 2020</t>
  </si>
  <si>
    <r>
      <t>Cg</t>
    </r>
    <r>
      <rPr>
        <vertAlign val="subscript"/>
        <sz val="11"/>
        <color indexed="8"/>
        <rFont val="Calibri"/>
        <family val="2"/>
      </rPr>
      <t>2020</t>
    </r>
  </si>
  <si>
    <t>Number of Commercial Units in 2020</t>
  </si>
  <si>
    <t>comm. units</t>
  </si>
  <si>
    <r>
      <t>C</t>
    </r>
    <r>
      <rPr>
        <vertAlign val="subscript"/>
        <sz val="11"/>
        <color indexed="8"/>
        <rFont val="Calibri"/>
        <family val="2"/>
      </rPr>
      <t>2020</t>
    </r>
  </si>
  <si>
    <r>
      <t>Cp</t>
    </r>
    <r>
      <rPr>
        <vertAlign val="subscript"/>
        <sz val="11"/>
        <color indexed="8"/>
        <rFont val="Calibri"/>
        <family val="2"/>
      </rPr>
      <t>2020</t>
    </r>
  </si>
  <si>
    <t>5% Reduction in energy use for residences (based on SMUD Calculator)</t>
  </si>
  <si>
    <t>T</t>
  </si>
  <si>
    <t xml:space="preserve">SMUD Shade Tree Benefit Calculator  https://usage.smud.org/treebenefit/iDefault.aspx
"The simulations predicted annual total energy savings of about 3–5% from combined direct and indirect effects for old  and new gas-heated single-family and rowhouse residences. This number increased to 10% for offices (SIC) and 12% for retail stores (sic)"
</t>
  </si>
  <si>
    <t>LBNL 2001 - Shade trees reduce building energy use and CO2 emissions from power plants
"We estimate that a tree planted in Los Angeles avoids the combustion of 18 kg of carbon per tree annually"</t>
  </si>
  <si>
    <t>EPA  http://www.epa.gov/heatisland/resources/pdf/toronto_energysavings.pdf</t>
  </si>
  <si>
    <t>= conversion factor from kg to metric tons</t>
  </si>
  <si>
    <t>Implement Voluntary Commute Trip Reduction Program</t>
  </si>
  <si>
    <t>Transportation and Land Use</t>
  </si>
  <si>
    <t>I. Telecommuting</t>
  </si>
  <si>
    <r>
      <t xml:space="preserve">Expected % of Job-workers Participating </t>
    </r>
    <r>
      <rPr>
        <vertAlign val="superscript"/>
        <sz val="11"/>
        <color indexed="8"/>
        <rFont val="Calibri"/>
        <family val="2"/>
      </rPr>
      <t>1</t>
    </r>
  </si>
  <si>
    <t>Work Week Choice</t>
  </si>
  <si>
    <t>4-day/40 hr</t>
  </si>
  <si>
    <t>Emission Factor; Annual MT CO2 per VMT (EMFAC 2011) for 2020</t>
  </si>
  <si>
    <t>MT CO2/VMT</t>
  </si>
  <si>
    <r>
      <t>Cef</t>
    </r>
    <r>
      <rPr>
        <vertAlign val="subscript"/>
        <sz val="11"/>
        <color indexed="8"/>
        <rFont val="Calibri"/>
        <family val="2"/>
      </rPr>
      <t>2020</t>
    </r>
  </si>
  <si>
    <t>Commute VMT in 2020</t>
  </si>
  <si>
    <t>VMT/year</t>
  </si>
  <si>
    <r>
      <t>V</t>
    </r>
    <r>
      <rPr>
        <vertAlign val="subscript"/>
        <sz val="11"/>
        <color indexed="8"/>
        <rFont val="Calibri"/>
        <family val="2"/>
      </rPr>
      <t>2020</t>
    </r>
  </si>
  <si>
    <r>
      <rPr>
        <vertAlign val="superscript"/>
        <sz val="11"/>
        <color indexed="8"/>
        <rFont val="Calibri"/>
        <family val="2"/>
      </rPr>
      <t>1</t>
    </r>
    <r>
      <rPr>
        <sz val="11"/>
        <color theme="1"/>
        <rFont val="Calibri"/>
        <family val="2"/>
        <scheme val="minor"/>
      </rPr>
      <t xml:space="preserve"> </t>
    </r>
    <r>
      <rPr>
        <sz val="9"/>
        <color indexed="8"/>
        <rFont val="Calibri"/>
        <family val="2"/>
      </rPr>
      <t>Based on a 10% particpation goal of eTrip, and 60% of all employees are at companies subject to eTrip and City requirements; SJVAPCD Final Staff Report, Rule 9140 (Employer Based Trip Reduction) December 17, 2009.</t>
    </r>
  </si>
  <si>
    <t>II. Carpool Program</t>
  </si>
  <si>
    <r>
      <t>Average Daily Commute VMT per Person</t>
    </r>
    <r>
      <rPr>
        <vertAlign val="superscript"/>
        <sz val="11"/>
        <color indexed="8"/>
        <rFont val="Calibri"/>
        <family val="2"/>
      </rPr>
      <t>2</t>
    </r>
  </si>
  <si>
    <t>D</t>
  </si>
  <si>
    <t>Working Days Per Year</t>
  </si>
  <si>
    <t>W</t>
  </si>
  <si>
    <t>Average Vehicle Occupancy in Carpool Vehicles</t>
  </si>
  <si>
    <t>A</t>
  </si>
  <si>
    <r>
      <rPr>
        <vertAlign val="superscript"/>
        <sz val="11"/>
        <color indexed="8"/>
        <rFont val="Calibri"/>
        <family val="2"/>
      </rPr>
      <t>2</t>
    </r>
    <r>
      <rPr>
        <sz val="9"/>
        <color indexed="8"/>
        <rFont val="Calibri"/>
        <family val="2"/>
      </rPr>
      <t>Based on the 2011 Average Stanislaus County One-way Commute time to work of 27.1 minutes (See: http://www.dot.ca.gov/hq/tpp//offices/eab/socio_economic_files/2011/Stanislaus.pdf). Also assumes an average of 40 mph for the length of the commute.</t>
    </r>
  </si>
  <si>
    <r>
      <t xml:space="preserve">CAPCOA </t>
    </r>
    <r>
      <rPr>
        <i/>
        <sz val="11"/>
        <color indexed="8"/>
        <rFont val="Calibri"/>
        <family val="2"/>
      </rPr>
      <t>Quantifying Greenhouse Gas Mitigation Measures</t>
    </r>
    <r>
      <rPr>
        <sz val="11"/>
        <color theme="1"/>
        <rFont val="Calibri"/>
        <family val="2"/>
        <scheme val="minor"/>
      </rPr>
      <t xml:space="preserve"> (Measure TRT-6). Note: Measure calculations based on data in Fehr &amp; Peers, </t>
    </r>
    <r>
      <rPr>
        <i/>
        <sz val="11"/>
        <color indexed="8"/>
        <rFont val="Calibri"/>
        <family val="2"/>
      </rPr>
      <t>Moving Cooler Technical Appendices</t>
    </r>
    <r>
      <rPr>
        <sz val="11"/>
        <color theme="1"/>
        <rFont val="Calibri"/>
        <family val="2"/>
        <scheme val="minor"/>
      </rPr>
      <t>.</t>
    </r>
  </si>
  <si>
    <t>EMFAC 2011 model run, Mendocino County.</t>
  </si>
  <si>
    <r>
      <rPr>
        <i/>
        <sz val="11"/>
        <color indexed="8"/>
        <rFont val="Calibri"/>
        <family val="2"/>
      </rPr>
      <t>SJVAPCD Final Staff Report</t>
    </r>
    <r>
      <rPr>
        <sz val="11"/>
        <color theme="1"/>
        <rFont val="Calibri"/>
        <family val="2"/>
        <scheme val="minor"/>
      </rPr>
      <t>, Rule 9140 (Employer Based Trip Reduction) December 17, 2009.</t>
    </r>
  </si>
  <si>
    <t>SEEC Community Inventory Tool, Reduction Measure: Transportation - Carpooling. Available at: https://c.na5.visual.force.com/apex/ForecastMeasure</t>
  </si>
  <si>
    <t>I: Telecommuting</t>
  </si>
  <si>
    <t>VMT Reduction = VMT x % Reduction in Commute VMT
See table below (Source: CAPCOA, TRT-6)</t>
  </si>
  <si>
    <t>% Reduction in Commute VMT</t>
  </si>
  <si>
    <t>Work week</t>
  </si>
  <si>
    <t>9-day/80 hr</t>
  </si>
  <si>
    <t>telecommuting 1.5 days</t>
  </si>
  <si>
    <t>VMT Reduction by 2020=</t>
  </si>
  <si>
    <t>VMT</t>
  </si>
  <si>
    <t>II: Carpool</t>
  </si>
  <si>
    <t xml:space="preserve">Commute:
VMT Reduction = R x P x D x W x A
(Source: SEEC Reduction Measure Tool)
</t>
  </si>
  <si>
    <t>Total Emissions Savings (MT)= VMT Reduction x Cef</t>
  </si>
  <si>
    <t>VMT in 2020</t>
  </si>
  <si>
    <t>units/acre</t>
  </si>
  <si>
    <t>Elasticity of VMT with respect to density (from: Boarnet and Handy 2010)</t>
  </si>
  <si>
    <t>EVMTd</t>
  </si>
  <si>
    <t>Cef</t>
  </si>
  <si>
    <t>CAPCOA Quantifying Greenhouse Gas Mitigation Measures (Measure LUT-1).</t>
  </si>
  <si>
    <t>EMFAC 2011 model run, Stanislaus County.</t>
  </si>
  <si>
    <t>Nelson\Nygaard, 2005. Crediting Low-Traffic Developments (p.12). Journal of the American Planning Association: http://www.montgomeryplanning.org/transportation/documents/TripGenerationAnalysisUsingURBEMIS.pdf</t>
  </si>
  <si>
    <t>Boarnet, Marlon and Handy, Susan. 2010. "Draft Policy Brief on the Impacts of Residential Density Based on a Review of Empirical Literature."</t>
  </si>
  <si>
    <t>Criteron Planner/Engineers and Fehr &amp; Peers Associates (2001). Index 4D Method.  A Quick-Response Method of Estimating Travel Impacts from Land-Use Changes. Technical Memorandum prepared for US EPA, October 2001.</t>
  </si>
  <si>
    <r>
      <rPr>
        <b/>
        <sz val="11"/>
        <color indexed="8"/>
        <rFont val="Calibri"/>
        <family val="2"/>
      </rPr>
      <t>Increase Density:
VMT Reduction = VMT × (A × EVMTd)</t>
    </r>
    <r>
      <rPr>
        <sz val="11"/>
        <color theme="1"/>
        <rFont val="Calibri"/>
        <family val="2"/>
        <scheme val="minor"/>
      </rPr>
      <t xml:space="preserve">
</t>
    </r>
  </si>
  <si>
    <r>
      <t>I</t>
    </r>
    <r>
      <rPr>
        <vertAlign val="subscript"/>
        <sz val="11"/>
        <color indexed="8"/>
        <rFont val="Calibri"/>
        <family val="2"/>
      </rPr>
      <t>a</t>
    </r>
  </si>
  <si>
    <t>Total Commute VMT in 2020</t>
  </si>
  <si>
    <r>
      <t>V</t>
    </r>
    <r>
      <rPr>
        <vertAlign val="subscript"/>
        <sz val="11"/>
        <color indexed="8"/>
        <rFont val="Calibri"/>
        <family val="2"/>
      </rPr>
      <t>a</t>
    </r>
  </si>
  <si>
    <t>Increase Local Employment Through Mixed Use Development:
VMT Reduction = I x V</t>
  </si>
  <si>
    <t>Reduce Total Community Waste Tonnage Sent to Landfill by 25%</t>
  </si>
  <si>
    <t>Total GHG Emissions (MT CO2e) of Community Waste Generation in 2020</t>
  </si>
  <si>
    <r>
      <t>T</t>
    </r>
    <r>
      <rPr>
        <vertAlign val="subscript"/>
        <sz val="11"/>
        <color indexed="8"/>
        <rFont val="Calibri"/>
        <family val="2"/>
      </rPr>
      <t>2020</t>
    </r>
  </si>
  <si>
    <t>Population</t>
  </si>
  <si>
    <r>
      <t>P</t>
    </r>
    <r>
      <rPr>
        <vertAlign val="subscript"/>
        <sz val="11"/>
        <color indexed="8"/>
        <rFont val="Calibri"/>
        <family val="2"/>
      </rPr>
      <t>2020</t>
    </r>
  </si>
  <si>
    <t>MT CO2e Generated per Person (from Community Waste) in 2020</t>
  </si>
  <si>
    <r>
      <t>M</t>
    </r>
    <r>
      <rPr>
        <vertAlign val="subscript"/>
        <sz val="11"/>
        <color indexed="8"/>
        <rFont val="Calibri"/>
        <family val="2"/>
      </rPr>
      <t>2020</t>
    </r>
  </si>
  <si>
    <t>Total GHG Emissions (MT CO2e) of Community Waste Generation in 2030</t>
  </si>
  <si>
    <r>
      <t>T</t>
    </r>
    <r>
      <rPr>
        <vertAlign val="subscript"/>
        <sz val="11"/>
        <color indexed="8"/>
        <rFont val="Calibri"/>
        <family val="2"/>
      </rPr>
      <t>2030</t>
    </r>
  </si>
  <si>
    <t>Note: 408.79 (as of 03/06/2013)</t>
  </si>
  <si>
    <t>Hughson Population in 2030</t>
  </si>
  <si>
    <r>
      <t>P</t>
    </r>
    <r>
      <rPr>
        <vertAlign val="subscript"/>
        <sz val="11"/>
        <color indexed="8"/>
        <rFont val="Calibri"/>
        <family val="2"/>
      </rPr>
      <t>2030</t>
    </r>
  </si>
  <si>
    <t>MT CO2e Generated per Person (from Community Waste) in 2030</t>
  </si>
  <si>
    <r>
      <t>M</t>
    </r>
    <r>
      <rPr>
        <vertAlign val="subscript"/>
        <sz val="11"/>
        <color indexed="8"/>
        <rFont val="Calibri"/>
        <family val="2"/>
      </rPr>
      <t>2030</t>
    </r>
  </si>
  <si>
    <r>
      <t>Z</t>
    </r>
    <r>
      <rPr>
        <vertAlign val="subscript"/>
        <sz val="11"/>
        <color indexed="8"/>
        <rFont val="Calibri"/>
        <family val="2"/>
      </rPr>
      <t>2020</t>
    </r>
  </si>
  <si>
    <r>
      <rPr>
        <b/>
        <sz val="11"/>
        <color indexed="8"/>
        <rFont val="Calibri"/>
        <family val="2"/>
      </rPr>
      <t>Reduce Total Community Waste Sent to Landfill:</t>
    </r>
    <r>
      <rPr>
        <sz val="11"/>
        <color theme="1"/>
        <rFont val="Calibri"/>
        <family val="2"/>
        <scheme val="minor"/>
      </rPr>
      <t xml:space="preserve">
Total Solid Waste Savings (tons) = M x P x Z
</t>
    </r>
  </si>
  <si>
    <t>Total Solid Waste Savings by 2020 =</t>
  </si>
  <si>
    <t>Reduce Community Water Consumption by 20%</t>
  </si>
  <si>
    <t>Total GHG Emissions (MT CO2e) of Water in 2005</t>
  </si>
  <si>
    <t>Z</t>
  </si>
  <si>
    <r>
      <rPr>
        <b/>
        <sz val="11"/>
        <color indexed="8"/>
        <rFont val="Calibri"/>
        <family val="2"/>
      </rPr>
      <t>Reduce Community Water Consumption:</t>
    </r>
    <r>
      <rPr>
        <sz val="11"/>
        <color theme="1"/>
        <rFont val="Calibri"/>
        <family val="2"/>
        <scheme val="minor"/>
      </rPr>
      <t xml:space="preserve">
Total GHG Savings = T x Z
</t>
    </r>
  </si>
  <si>
    <t>Total GHG Savings by 2020 =</t>
  </si>
  <si>
    <t>Strategy E 1.1 - Monitoring Worksheet</t>
  </si>
  <si>
    <t>Strategy E 1.2 - Monitoring Worksheet</t>
  </si>
  <si>
    <t>Strategy E.1.3 - Monitoring Worksheet</t>
  </si>
  <si>
    <t>Strategy E 1.5 - Monitoring Worksheet</t>
  </si>
  <si>
    <t>Strategy E 1.6  - Monitoring Worksheet</t>
  </si>
  <si>
    <t>Strategy T.1.1 - Monitoring Worksheet</t>
  </si>
  <si>
    <t>Strategy SW.1.1 - Monitoring Worksheet</t>
  </si>
  <si>
    <t>Strategy W.1.1 - Monitoring Worksheet</t>
  </si>
  <si>
    <t>Action E-1.1a: Revise the City of Hughson Municipal Code to require implementation of CalGreen Tier 1 building code standards for all new residential development.</t>
  </si>
  <si>
    <t>Action E-1.1b: Expedite permits for developments that exceed Title 24 requirements by 15%.</t>
  </si>
  <si>
    <t xml:space="preserve">Notes: </t>
  </si>
  <si>
    <t xml:space="preserve">Action E-1.2a: Promote existing residential energy efficiency programs. </t>
  </si>
  <si>
    <t>Action E-1.2b: Promote rebates for residential fixtures and appliances and other utility programs to improve energy efficiency in residential homes.</t>
  </si>
  <si>
    <t>Action E-1.2c: Develop a low-cost local education campaign to promote residential energy efficiency improvements</t>
  </si>
  <si>
    <r>
      <rPr>
        <sz val="11"/>
        <color indexed="8"/>
        <rFont val="Calibri"/>
        <family val="2"/>
      </rPr>
      <t xml:space="preserve">Residential Green Building Standards. Expand green building and energy efficient design for new residential development. 
CalGreen Tier 1 standards represent 15% improved energy efficiency over Title 24 standards. </t>
    </r>
    <r>
      <rPr>
        <b/>
        <sz val="11"/>
        <rFont val="Calibri"/>
        <family val="2"/>
      </rPr>
      <t/>
    </r>
  </si>
  <si>
    <t xml:space="preserve">Residential Energy Efficiency Promotion. Promote various federal, State, local, and utility programs and other opportunities to improve the energy efficiency of residential homes. </t>
  </si>
  <si>
    <t>= monitoring tool output</t>
  </si>
  <si>
    <t xml:space="preserve"> </t>
  </si>
  <si>
    <t>= monitoring tool input</t>
  </si>
  <si>
    <t>CAP Strategy</t>
  </si>
  <si>
    <t>E.1.2</t>
  </si>
  <si>
    <t>Existing Commercial Square Feet Upgraded by 2020</t>
  </si>
  <si>
    <t>Number of trees planted per year</t>
  </si>
  <si>
    <t>Number of Commercial Units participating in program by 2020</t>
  </si>
  <si>
    <t>Number of Housing Units participating in program by 2020</t>
  </si>
  <si>
    <t>Color Key</t>
  </si>
  <si>
    <t>= Date of last update</t>
  </si>
  <si>
    <t>= lastest update</t>
  </si>
  <si>
    <t>Target date</t>
  </si>
  <si>
    <t>Status</t>
  </si>
  <si>
    <t>Completed</t>
  </si>
  <si>
    <t xml:space="preserve">General  </t>
  </si>
  <si>
    <t>Instructions</t>
  </si>
  <si>
    <t>Strategy Worksheets</t>
  </si>
  <si>
    <t>= CAP information, assumption, input , or common factor (do not change)</t>
  </si>
  <si>
    <t>1. At top of each strategy sheet, enter current date
2. For each Implementing Action, select Status from drop-down menu (Not started, In Process, or Complete)
3. Enter data into all input fields (green cells). Do not change the data or information in the yellow cells.</t>
  </si>
  <si>
    <t>Implementing Action</t>
  </si>
  <si>
    <t>Implementation Status</t>
  </si>
  <si>
    <r>
      <t xml:space="preserve">Promote various federal, State, local, and utility programs and other opportunities to improve the energy efficiency of commercial buildings. 
</t>
    </r>
    <r>
      <rPr>
        <b/>
        <sz val="11"/>
        <color indexed="8"/>
        <rFont val="Calibri"/>
        <family val="2"/>
      </rPr>
      <t/>
    </r>
  </si>
  <si>
    <t xml:space="preserve">Promote San Joaquin Valley Air Pollution Control District Best Performance Standards to increase energy efficiency in industrial equipment.  </t>
  </si>
  <si>
    <t>Community Water Consumption.  Meet State water use reduction requirements, under the Water Conservation Act of 2009 (SB7x7), to reduce water consumption by 20  % from the 2005 baseline.</t>
  </si>
  <si>
    <t>TOTAL</t>
  </si>
  <si>
    <t>Target GHG Reduction in 2020 (MT CO2e)</t>
  </si>
  <si>
    <t>Actual GHG Reductions (MT CO2e)</t>
  </si>
  <si>
    <t>2020 reduction estimate</t>
  </si>
  <si>
    <t>2020 est.</t>
  </si>
  <si>
    <t xml:space="preserve">Tool Development - Remaining Tasks </t>
  </si>
  <si>
    <t>Explanation of Metrics (and Suggestions on Their Use)</t>
  </si>
  <si>
    <t>* Number of Housing Units participating in program by 2020
* Number of Commercial Units participating in program by 2020
* Number of trees planted per year</t>
  </si>
  <si>
    <t>Summary of CAP Monitoring Strategies</t>
  </si>
  <si>
    <t>Action E-1.3b: Develop a local education campaign to promote benchmarking and cost-effective commercial energy efficiency improvements such as performing energy audits, use of building insulation and building envelope sealing, use of energy efficient appliances, and other efficiency programs that save energy.</t>
  </si>
  <si>
    <t>Action E-1.3c: Continue to participate in the San Joaquin Valley Clean Energy Partnership and the Northern Central Valley Energy Improvement Joint Powers Authority to apply for available Federal grant funding for non-residential energy efficiency projects.</t>
  </si>
  <si>
    <t>Action E-1.5a:  Make information available regarding the San Joaquin Valley Air Pollution Control District Best Performance Standards for industrial energy efficiency.</t>
  </si>
  <si>
    <t>Action E-1.6a: Continue to support and promote Turlock Irrigation District’s Shade Tree Program by providing brochures on the specifics of the program and including information on the City’s website.</t>
  </si>
  <si>
    <t>Action E-1.6b: Complete preparation of and adopt an Urban Forest Plan to manage the urban forest in the City by maintaining and preserving existing trees and planting additional ones.</t>
  </si>
  <si>
    <t xml:space="preserve">Action E-1.6c: Continue to implement City Codes and ordinances that require planting of new trees, protection of existing trees, and replacement of trees that are removed. </t>
  </si>
  <si>
    <t xml:space="preserve">Action E-1.6d: Continue to implement landscaping requirements for commercial uses that require planting of new trees and other vegetation (i.e., shrubs, groundcover) of certain size. </t>
  </si>
  <si>
    <t>Not Started</t>
  </si>
  <si>
    <t>In Progress</t>
  </si>
  <si>
    <t>Update workbook links to refer to links within this workbook</t>
  </si>
  <si>
    <t>Action E-1.3a: Promote rebates for commercial fixtures and appliances and other utility programs to improve energy efficiency in commercial buildings.</t>
  </si>
  <si>
    <t>Action T-1.1a: Promote SJVAPCD’s Employer Trip Reduction Implementation Program Rule 9410 (eTRIP), which requires larger employers to establish a program that encourages employees to reduce single-occupancy vehicle trips.</t>
  </si>
  <si>
    <t>Action T-1.1b: Encourage smaller employers to implement transportation demand management measures to reduce single-occupancy vehicle trips.</t>
  </si>
  <si>
    <t>Action LU-1.1a: Implement the City’s Zoning Code that allows for higher densities, infill development, and mixed use that is pedestrian-friendly.</t>
  </si>
  <si>
    <t>Action LU-1.1b: Focus future development within the City limits and its Sphere of Influence to prevent urban sprawl and leapfrog development.</t>
  </si>
  <si>
    <r>
      <t xml:space="preserve">Promote Residential Energy Efficiency:
</t>
    </r>
    <r>
      <rPr>
        <sz val="11"/>
        <color theme="1"/>
        <rFont val="Calibri"/>
        <family val="2"/>
        <scheme val="minor"/>
      </rPr>
      <t>Residential Electricity Energy Savings (kWh)=E × Rsf</t>
    </r>
    <r>
      <rPr>
        <vertAlign val="subscript"/>
        <sz val="11"/>
        <color indexed="8"/>
        <rFont val="Calibri"/>
        <family val="2"/>
      </rPr>
      <t>2020</t>
    </r>
    <r>
      <rPr>
        <sz val="11"/>
        <color theme="1"/>
        <rFont val="Calibri"/>
        <family val="2"/>
        <scheme val="minor"/>
      </rPr>
      <t xml:space="preserve"> × Re  x F
Residential Natural Gas Savings (therms)=N × Rsf</t>
    </r>
    <r>
      <rPr>
        <vertAlign val="subscript"/>
        <sz val="11"/>
        <color indexed="8"/>
        <rFont val="Calibri"/>
        <family val="2"/>
      </rPr>
      <t>2020</t>
    </r>
    <r>
      <rPr>
        <sz val="11"/>
        <color theme="1"/>
        <rFont val="Calibri"/>
        <family val="2"/>
        <scheme val="minor"/>
      </rPr>
      <t xml:space="preserve"> × Rn 
</t>
    </r>
  </si>
  <si>
    <r>
      <rPr>
        <b/>
        <sz val="11"/>
        <color indexed="8"/>
        <rFont val="Calibri"/>
        <family val="2"/>
      </rPr>
      <t>Voluntary Shade Tree Program:</t>
    </r>
    <r>
      <rPr>
        <sz val="11"/>
        <color theme="1"/>
        <rFont val="Calibri"/>
        <family val="2"/>
        <scheme val="minor"/>
      </rPr>
      <t xml:space="preserve">
Electricity savings residential by 2020 = Re</t>
    </r>
    <r>
      <rPr>
        <vertAlign val="subscript"/>
        <sz val="11"/>
        <color indexed="8"/>
        <rFont val="Calibri"/>
        <family val="2"/>
      </rPr>
      <t>2020</t>
    </r>
    <r>
      <rPr>
        <sz val="11"/>
        <color theme="1"/>
        <rFont val="Calibri"/>
        <family val="2"/>
        <scheme val="minor"/>
      </rPr>
      <t>/H</t>
    </r>
    <r>
      <rPr>
        <vertAlign val="subscript"/>
        <sz val="11"/>
        <color indexed="8"/>
        <rFont val="Calibri"/>
        <family val="2"/>
      </rPr>
      <t>2020</t>
    </r>
    <r>
      <rPr>
        <sz val="11"/>
        <color theme="1"/>
        <rFont val="Calibri"/>
        <family val="2"/>
        <scheme val="minor"/>
      </rPr>
      <t xml:space="preserve"> x HP</t>
    </r>
    <r>
      <rPr>
        <vertAlign val="subscript"/>
        <sz val="11"/>
        <color indexed="8"/>
        <rFont val="Calibri"/>
        <family val="2"/>
      </rPr>
      <t>2020</t>
    </r>
    <r>
      <rPr>
        <sz val="11"/>
        <color theme="1"/>
        <rFont val="Calibri"/>
        <family val="2"/>
        <scheme val="minor"/>
      </rPr>
      <t xml:space="preserve"> x 0.95 x F
Natural gas savings residential by 2020 = Rg</t>
    </r>
    <r>
      <rPr>
        <vertAlign val="subscript"/>
        <sz val="11"/>
        <color indexed="8"/>
        <rFont val="Calibri"/>
        <family val="2"/>
      </rPr>
      <t>2020</t>
    </r>
    <r>
      <rPr>
        <sz val="11"/>
        <color theme="1"/>
        <rFont val="Calibri"/>
        <family val="2"/>
        <scheme val="minor"/>
      </rPr>
      <t>/H</t>
    </r>
    <r>
      <rPr>
        <vertAlign val="subscript"/>
        <sz val="11"/>
        <color indexed="8"/>
        <rFont val="Calibri"/>
        <family val="2"/>
      </rPr>
      <t>2020</t>
    </r>
    <r>
      <rPr>
        <sz val="11"/>
        <color theme="1"/>
        <rFont val="Calibri"/>
        <family val="2"/>
        <scheme val="minor"/>
      </rPr>
      <t xml:space="preserve"> x HP</t>
    </r>
    <r>
      <rPr>
        <vertAlign val="subscript"/>
        <sz val="11"/>
        <color indexed="8"/>
        <rFont val="Calibri"/>
        <family val="2"/>
      </rPr>
      <t>2020</t>
    </r>
    <r>
      <rPr>
        <sz val="11"/>
        <color theme="1"/>
        <rFont val="Calibri"/>
        <family val="2"/>
        <scheme val="minor"/>
      </rPr>
      <t xml:space="preserve"> x 0.95</t>
    </r>
    <r>
      <rPr>
        <sz val="11"/>
        <color theme="1"/>
        <rFont val="Calibri"/>
        <family val="2"/>
        <scheme val="minor"/>
      </rPr>
      <t xml:space="preserve">
</t>
    </r>
    <r>
      <rPr>
        <sz val="11"/>
        <color theme="1"/>
        <rFont val="Calibri"/>
        <family val="2"/>
        <scheme val="minor"/>
      </rPr>
      <t xml:space="preserve">
</t>
    </r>
  </si>
  <si>
    <t>Action SW-1.1a:  Coordinate with Waste Management and Stanislaus County to prepare and distribute educational materials to the public on recycling programs, and to promote solid waste source reduction and benefits of composting.</t>
  </si>
  <si>
    <t>Action SW-1.1b:  Work with Waste Management to expand the recycling program to include non-residential uses and multi-family residential uses.</t>
  </si>
  <si>
    <t>Action SW-1.1c:   Work with Waste Management to explore expanding the recycling program to include food waste and green waste for all users.</t>
  </si>
  <si>
    <t>Action SW-1.1d:   Continue to serve on and/or coordinate with the Stanislaus County Local Task Force on Solid Waste Management to ensure that services for solid waste collection, recycling, and disposal meet the needs of the community.</t>
  </si>
  <si>
    <t>Action W-1.1a:  Increase the efficiency of existing community plumbing fixtures and promoting available rebates from utility companies for the installation of higher efficiency plumbing fixtures.</t>
  </si>
  <si>
    <t>Action W-1.1b:  Prepare and adopt a Water Efficient Landscaping Ordinance.</t>
  </si>
  <si>
    <t>Implementation Tracker Statuses</t>
  </si>
  <si>
    <t>Industrial Square Feet Upgraded by 2020</t>
  </si>
  <si>
    <t>CAP Target = 25% per capita reduction in community waste sent to landfill by 2020.</t>
  </si>
  <si>
    <t>CAP Target = 20% per capita reduction in water consumption by 2020.</t>
  </si>
  <si>
    <t>Natural Gas Energy Savings</t>
  </si>
  <si>
    <t>Electricity Energy Savings</t>
  </si>
  <si>
    <t>Proportional increase in local jobs, by 2020</t>
  </si>
  <si>
    <t>% Reduction in Per Capita Community Waste Sent to Landfill in 2020</t>
  </si>
  <si>
    <t>CAP assumption = 5% electricity savings for upgraded area</t>
  </si>
  <si>
    <t xml:space="preserve">CAP assumption = 5% natural gas savings for upgraded area </t>
  </si>
  <si>
    <t>Total GHG Emissions Savings by 2020 =</t>
  </si>
  <si>
    <t># of trees planted since 2005</t>
  </si>
  <si>
    <t>Total Emissions Savings (MT)= (Se/1000×Efa)+(Sg/10 × Efb/1000) + (T/0.001)</t>
  </si>
  <si>
    <t>= number of trees planted since 2005</t>
  </si>
  <si>
    <t>CAP target =2,820 trees planted by year 2020 ( 188 trees per year)</t>
  </si>
  <si>
    <t>* % Increase in residential units/acre by 2020
* % increase in local jobs, by 2020</t>
  </si>
  <si>
    <t>CAP Target = 24.4% increase in units/acre by 2020 (congruent with General Plan expectations)</t>
  </si>
  <si>
    <t xml:space="preserve">Summary Table </t>
  </si>
  <si>
    <t>Estimate the total community industrial area (in square feet) that newly complies with SJVAPCD Best Performance Standards, using data collected from SJVAPCD and building permits, adjusted with a factor accounting for industrial upgrades that occur without obtaining permits.</t>
  </si>
  <si>
    <t>Estimate total new (post-2005) community commercial area (in square feet) that is upgraded with energy efficiency programs/opportunites, based on data collected from building permits, adjusted with a factor accounting for the commercial upgrades that occur without obtaining permits.</t>
  </si>
  <si>
    <t>% Increase in City residential units/acre by 2020 (within City limits only), tracked through the development review process.</t>
  </si>
  <si>
    <t>The nine Climate Action Plan (CAP) stategies including in this tracking tool represent 100% of the GHG emissions reductions needed to reach the City of Hughson target for 2020. Annually update the performance data for each Strategy (green tabs) with current data. Do not change any of the values in the yellow tabs. The blue cells in the Summay Table tab display the results, including the estimated GHG emissions reduction associated with each Strategy, and the total reductions acheived to date relative to the 2020 target.</t>
  </si>
  <si>
    <t>Instructions for Using the Hughson CAP Monitoring Tool</t>
  </si>
  <si>
    <t>We should lock these sheets so that they can’t be edited, including all yellow cells so the values can’t be changed</t>
  </si>
  <si>
    <t xml:space="preserve">Increase shade trees in Hughson to cool buildings and pavement in the summer, which decreases energy use and reduces the “heat island effect” within the City. </t>
  </si>
  <si>
    <r>
      <t xml:space="preserve">Support local employer-based trip reduction programs consistent with the San Joaquin Valley Air Pollution Control District’s Employer Based Trip Reduction Program (Rule 9410) to reduce the number of daily commuter vehicles to and from the City of Hughson. 
</t>
    </r>
    <r>
      <rPr>
        <i/>
        <sz val="11"/>
        <color indexed="8"/>
        <rFont val="Calibri"/>
        <family val="2"/>
      </rPr>
      <t>More information on eTRIP at: http://www.valleyair.org/Programs/Rule9410TripReduction/eTRIP_main.htm#what_is_rule</t>
    </r>
  </si>
  <si>
    <t xml:space="preserve">Support higher densities, infill development, and sustainable growth patterns to reduce VMT. </t>
  </si>
  <si>
    <t xml:space="preserve">Reduce per capita community solid waste sent to landfill by 25% by 2020 and by 35% by 2030, compared with the baseline year 2005, through additional recycling, green waste diversion, and waste reduction associated with the community.  </t>
  </si>
  <si>
    <t>Increase Density:
Total Emissions Savings (MT)= VMT Reduction x Cef</t>
  </si>
  <si>
    <t>Increase Local Employment Through Mixed Use Development:
Total Emissions Savings (MT)= VMT Reduction x Cef</t>
  </si>
  <si>
    <t>Kelly</t>
  </si>
  <si>
    <t>Josh</t>
  </si>
  <si>
    <t>Calculate % Reduction in Per Capita Community Waste Sent to Landfill (relative to 2005), based on solid waste disposal information reported to the state under Title 14, California Code of Regulations (14 CCR).</t>
  </si>
  <si>
    <t>Calculate % reduction in total Community water consumption (relative to 2005).</t>
  </si>
  <si>
    <t>Strategy LU.1.1 - Monitoring Worksheet</t>
  </si>
  <si>
    <t>Estimate the total existing (pre-2005) community commercial area (in square feet) that is upgraded with energy efficiency programs/opportunites, based on data collected from building permits, adjusted with a factor that accounts for the commercial upgrades that occur without obtaining permits.</t>
  </si>
  <si>
    <t>Total square feet of new residential space built in the City between 2005 and 2020. Can be estimated from data collected in building permits.</t>
  </si>
  <si>
    <t>The total community residential area (in square feet) that is upgraded with energy efficiency programs/opportunites. Relevant data (e.g., number of program recipients) may be available from TID and PG&amp;E related to their energy efficiency programs.  Square footage can be estimated by multiplying the number of residences that are significantly upgraded by the average square footage of each residence in the City.</t>
  </si>
  <si>
    <t xml:space="preserve">Josh </t>
  </si>
  <si>
    <t>unresolved</t>
  </si>
  <si>
    <t>Tabs for LU1.1a and LU1.1b have now been combined. Please fix the function in Summary Table so that the status for LU1.1 is correctly determined, drawing the status info from the one sheet.</t>
  </si>
  <si>
    <t>trees</t>
  </si>
  <si>
    <r>
      <t>Proportional increase in local jobs, since 2005</t>
    </r>
    <r>
      <rPr>
        <vertAlign val="superscript"/>
        <sz val="11"/>
        <color indexed="8"/>
        <rFont val="Calibri"/>
        <family val="2"/>
      </rPr>
      <t>1</t>
    </r>
  </si>
  <si>
    <t>Existing Residential Square Feet Upgraded since 2005</t>
  </si>
  <si>
    <t>Existing Commercial Square Feet Upgraded between 2005 and 2020</t>
  </si>
  <si>
    <t>Post-2005 Commercial Square Feet Upgraded between 2005 and 2020</t>
  </si>
  <si>
    <t>Industrial Square Feet Upgraded since 2005</t>
  </si>
  <si>
    <r>
      <t xml:space="preserve">2020 CAP Target = </t>
    </r>
    <r>
      <rPr>
        <b/>
        <sz val="11"/>
        <color indexed="8"/>
        <rFont val="Calibri"/>
        <family val="2"/>
      </rPr>
      <t>192,150 square feet = 30% of 2005 existing commercial square footage to be upgraded by 2020</t>
    </r>
  </si>
  <si>
    <t xml:space="preserve">2020 CAP Target = = 277,292 square feet =  10% of 2005 residential square footage by 2020 </t>
  </si>
  <si>
    <r>
      <t xml:space="preserve">2020 CAP Target = 964,548 </t>
    </r>
    <r>
      <rPr>
        <b/>
        <sz val="11"/>
        <color indexed="8"/>
        <rFont val="Calibri"/>
        <family val="2"/>
      </rPr>
      <t>square feet of new construction residential space from 2005 to 2020</t>
    </r>
  </si>
  <si>
    <t xml:space="preserve">Number of Housing Units participating in program </t>
  </si>
  <si>
    <r>
      <t>Number of Commercial Units participating in program</t>
    </r>
    <r>
      <rPr>
        <vertAlign val="superscript"/>
        <sz val="11"/>
        <color indexed="8"/>
        <rFont val="Calibri"/>
        <family val="2"/>
      </rPr>
      <t>2</t>
    </r>
  </si>
  <si>
    <t>Percent Reduction in Per Capita Community Waste Sent to Landfill, relative to 2005</t>
  </si>
  <si>
    <t>Percent Reduction in Water Consumption, relative to 2005</t>
  </si>
  <si>
    <t>Resolved</t>
  </si>
  <si>
    <t>Status (Updated by JXS)</t>
  </si>
  <si>
    <t>Assumes City expands to include Sphere of Influence by 2030</t>
  </si>
  <si>
    <t>* % of Job-workers Participating in 4-day work week
* Total Number of Program Recipients in 2020
* Percent of Recipients Participating</t>
  </si>
  <si>
    <t>% of Job-workers Participating (in 4-day work week)</t>
  </si>
  <si>
    <t>Total Number of Program Participants in 2020</t>
  </si>
  <si>
    <t xml:space="preserve">We need Instruction Information for the T.1.1 metrics based on your conversation with SJVAPCD. Remoive yellow hilites when you are done. Also - the metrics in Cell L12 of Summary Table and Tab T.1.1 match up. Please resolve and make consistent according to how the reductions are calculated and what we are asking the City to track. Maybe we keep the 10% participation rate as an assumption and not a tracking metric, unless SJVAPCD will be able to provide some relevant data?
JXS Response: Updated the Summary sheet to provide the City guidance about what the SJVAPCD will be doing and how to follow up with them. Removed yellow highlights. Consolidated the two metrics into one, so that they are not separated out into two metrics (there was redundancy...before it was "10% of 10% of the worker population...but it is more simple to remove the 'percent participation' metric and simply make it 1% worker participation. Updated this in the energy workbook too). Then fixed the metrics in Summary Table cell L12 so that it matches up with T.1.1. </t>
  </si>
  <si>
    <t>Total number of persons participating in the program (now carpooling). The SJVAPCD is tracking this in 2015 with the survey. See cell above for information on how to obtain results from the SJVAPCD.</t>
  </si>
  <si>
    <t>Please check assumption, line 15 in tab E.1.3 - Are we assuming that 100% of Post-2005 commercial square footage will be upgraded by 2020? Are we really saying that all contruction post-2005 will be of a higher standard that what existed under 2005 baseline conditions? If so we can remove the part that says "= 100% of Post-2005 commercial square footage to be upgraded by 2020 " JXS Response: Yes -- all post-2005 square footage (new development) is assumed to utilize the available rebates -- the idea is that the City promotes these heavily for new development that occurs.</t>
  </si>
  <si>
    <t>Is the note for line 47 of the "Common Factors" tab still relevant? Does it need to be resolved. We don't want to keep this note in the tool. JXS Response: Removed.</t>
  </si>
  <si>
    <t>Elasticity of VMT with respect to density (from: Boarnet and Handy, 2010)</t>
  </si>
  <si>
    <t>Stanislaus County Annual Tons CO2/day (EMFAC 2011) for 2020</t>
  </si>
  <si>
    <t>Tons CO2/day</t>
  </si>
  <si>
    <t>Stanislaus County Annual VMT/day (EMFAC 2011) for 2020</t>
  </si>
  <si>
    <t>VMT/day</t>
  </si>
  <si>
    <t>Transportation Factors</t>
  </si>
  <si>
    <t>Total Annual VMT in 2005</t>
  </si>
  <si>
    <t>Source: Fehr &amp; Peers</t>
  </si>
  <si>
    <t>2005 daily VMT provided by StanCOG model * 347</t>
  </si>
  <si>
    <t>Total Annual VMT in 2020</t>
  </si>
  <si>
    <t>Based on population growth projections to estimate from data provided by Fehr &amp; Peers</t>
  </si>
  <si>
    <t>from Fehr &amp; Peers March 2 revised VMT</t>
  </si>
  <si>
    <t>Total Commute VMT in 2005</t>
  </si>
  <si>
    <t>Nationwide, 27.7% of all VMT are commute trips (USDOT, Summary of Travel Trends 2009, Table 24, p. 44)</t>
  </si>
  <si>
    <t>Total Highway VMT in 2005</t>
  </si>
  <si>
    <t>In 2005, 46.65 percent of all VMT in Stanislaus was on state highways (Caltrans MVSTAFF05, Appendix B)</t>
  </si>
  <si>
    <t>In 2005, 46.65 percent ofall VMT in Stanislaus was on state highways (Caltrans MVSTAFF05, Appendix B)</t>
  </si>
  <si>
    <t>Total Highway VMT in 2020</t>
  </si>
  <si>
    <t>But, county has other highways through it that don't run through Oakdale</t>
  </si>
  <si>
    <t>Projected to be 8,287</t>
  </si>
  <si>
    <t>Number of Housing Units participating in Turlock Irrigation District’s Shade Tree Program by 2020.</t>
  </si>
  <si>
    <t xml:space="preserve">Number of Commercial Units participating in Turlock Irrigation District’s Shade Tree Program by 2020. </t>
  </si>
  <si>
    <t xml:space="preserve">Total number of trees planted since 2005. </t>
  </si>
  <si>
    <t>% Increase in City residential units/acre by 2020 (within City limits only).</t>
  </si>
  <si>
    <t>Avg. natural gas usage intensity for res. buildings in therms/sq ft - California</t>
  </si>
  <si>
    <t>See Hughson Community Inventory Workbook</t>
  </si>
  <si>
    <r>
      <t>% of Hughson community members involved in the San Joaquin Valley Air Pollution Control District's (SJVAPCD) Commute Reduction Program's 4-day work week. The SJVAPCD expects to conduct a survey of the success of its Commute Reduction Program in 2015. This survey will provide information on the the % participation rate by jurisdiction. The City of Hughson should follow-up with the SJVAPCD</t>
    </r>
    <r>
      <rPr>
        <vertAlign val="superscript"/>
        <sz val="11"/>
        <color theme="1"/>
        <rFont val="Calibri"/>
        <family val="2"/>
        <scheme val="minor"/>
      </rPr>
      <t>1</t>
    </r>
    <r>
      <rPr>
        <sz val="11"/>
        <color theme="1"/>
        <rFont val="Calibri"/>
        <family val="2"/>
        <scheme val="minor"/>
      </rPr>
      <t xml:space="preserve"> for the results, to find out the number of community members that have become involved.</t>
    </r>
  </si>
  <si>
    <t>% Increase in residential units/acre since 2005</t>
  </si>
  <si>
    <t>CAP Target = 1% of City population (as of 2005) participating by 2020 (~74)</t>
  </si>
  <si>
    <t>2020 CAP Target = 2% of local employees participating in a 4-day/40-hr workweek by 2020.</t>
  </si>
  <si>
    <t>CAP target = 1% increase in local jobs by 2020</t>
  </si>
  <si>
    <t xml:space="preserve">Key Implementing Actions </t>
  </si>
  <si>
    <t>Key Implementing Actions</t>
  </si>
  <si>
    <t>Sg =</t>
  </si>
  <si>
    <t>Total City electricity savings by 2020=</t>
  </si>
  <si>
    <t>Total City natural gas savings by 2020=</t>
  </si>
  <si>
    <t>Note: This calculation calculates GHG emissions savings from increasing density. Density is expected to increase from 1.65 housing units per acre to 2.05 units/acre in 2020 and 2.28 units/acre in 2030. This will increase destination accessibility and otherwise reduce automobile dependency.</t>
  </si>
  <si>
    <t>Projected Hughson Population in 2020</t>
  </si>
  <si>
    <t>GHG Savings:</t>
  </si>
  <si>
    <t>Use Telecommuting table below</t>
  </si>
  <si>
    <t>Choose between 4-day/40 hr , 9-day/80 hr, and 1.5 days/week telecommuting</t>
  </si>
  <si>
    <t>Employee Participation (% of local emplyees)</t>
  </si>
  <si>
    <r>
      <t>Instruction: Use the table above to select value for</t>
    </r>
    <r>
      <rPr>
        <b/>
        <sz val="11"/>
        <color theme="1"/>
        <rFont val="Calibri"/>
        <family val="2"/>
        <scheme val="minor"/>
      </rPr>
      <t xml:space="preserve"> % Reduction in Commute VMT</t>
    </r>
    <r>
      <rPr>
        <sz val="11"/>
        <color theme="1"/>
        <rFont val="Calibri"/>
        <family val="2"/>
        <scheme val="minor"/>
      </rPr>
      <t>, based on Work Week type and Employee Participation percentage. If there is participation in more than one type of work week, determine the  % Reduction in Commute VMT for each work week type and add them together. Enter value in the cell to the left.</t>
    </r>
  </si>
  <si>
    <t xml:space="preserve">% Reduction </t>
  </si>
  <si>
    <t>Forecasted total square feet of new residential construction from 2005 to 2020</t>
  </si>
  <si>
    <t>Forecasted total square feet of new residential construction from 2005 to 2030</t>
  </si>
  <si>
    <t>NCb</t>
  </si>
  <si>
    <t>% Natural Gas Savings expected from 2013 Title 24 Update</t>
  </si>
  <si>
    <t>% Electricity Savings expected from 2013 Title 24 Update</t>
  </si>
  <si>
    <t>Additional reduction in electricity and nat. gas usage for new buildings meeting 2013 Title 24 Tier 1 (15% above minimum requirement).</t>
  </si>
  <si>
    <t>Residential development during the 2005-2020 timeframe expected to be compliant with Title 24 Tier 1 (2013 update, effective 1/1/2014).</t>
  </si>
  <si>
    <t>P2020</t>
  </si>
  <si>
    <t>Residential development during the 2005-2030 timeframe expected to be compliant with Title 24 Tier 1 (2013 update, effective 1/1/2014).</t>
  </si>
  <si>
    <t>P2030</t>
  </si>
  <si>
    <t>2005 baseline Hughson electric use intensity factor for res. buildings in kWh/sq ft.</t>
  </si>
  <si>
    <t>2005 baseline Hughson natural gas intensity factor for res. buildings in therms/sq ft.</t>
  </si>
  <si>
    <t xml:space="preserve">Assuming implementation of code in 2014. All housing is expected to be subject to the City's ordinance to attain Title 24 Tier 1. </t>
  </si>
  <si>
    <r>
      <rPr>
        <b/>
        <sz val="11"/>
        <color indexed="8"/>
        <rFont val="Calibri"/>
        <family val="2"/>
      </rPr>
      <t xml:space="preserve">New Residential Green Building Development:
</t>
    </r>
    <r>
      <rPr>
        <sz val="11"/>
        <color theme="1"/>
        <rFont val="Calibri"/>
        <family val="2"/>
        <scheme val="minor"/>
      </rPr>
      <t>Total Electricity Savings by 2020 (kWh</t>
    </r>
    <r>
      <rPr>
        <sz val="11"/>
        <rFont val="Calibri"/>
        <family val="2"/>
      </rPr>
      <t>) = Nca ×</t>
    </r>
    <r>
      <rPr>
        <sz val="11"/>
        <rFont val="Calibri"/>
        <family val="2"/>
      </rPr>
      <t xml:space="preserve"> (Sb</t>
    </r>
    <r>
      <rPr>
        <sz val="11"/>
        <rFont val="Calibri"/>
        <family val="2"/>
      </rPr>
      <t xml:space="preserve"> + R) x P</t>
    </r>
    <r>
      <rPr>
        <vertAlign val="subscript"/>
        <sz val="11"/>
        <rFont val="Calibri"/>
        <family val="2"/>
      </rPr>
      <t>2020</t>
    </r>
    <r>
      <rPr>
        <sz val="11"/>
        <rFont val="Calibri"/>
        <family val="2"/>
      </rPr>
      <t xml:space="preserve"> x E x F
Total Natural Gas Savings by 2020 (therms)= Nca × (Sa + R) x P</t>
    </r>
    <r>
      <rPr>
        <vertAlign val="subscript"/>
        <sz val="11"/>
        <rFont val="Calibri"/>
        <family val="2"/>
      </rPr>
      <t>2020</t>
    </r>
    <r>
      <rPr>
        <sz val="11"/>
        <rFont val="Calibri"/>
        <family val="2"/>
      </rPr>
      <t xml:space="preserve"> x N
Total Electricity Savings by 2030 (kWh) = Ncb × (</t>
    </r>
    <r>
      <rPr>
        <sz val="11"/>
        <rFont val="Calibri"/>
        <family val="2"/>
      </rPr>
      <t>Sb +</t>
    </r>
    <r>
      <rPr>
        <sz val="11"/>
        <rFont val="Calibri"/>
        <family val="2"/>
      </rPr>
      <t xml:space="preserve"> R) x P</t>
    </r>
    <r>
      <rPr>
        <vertAlign val="subscript"/>
        <sz val="11"/>
        <rFont val="Calibri"/>
        <family val="2"/>
      </rPr>
      <t>2030</t>
    </r>
    <r>
      <rPr>
        <sz val="11"/>
        <rFont val="Calibri"/>
        <family val="2"/>
      </rPr>
      <t xml:space="preserve"> x E x F</t>
    </r>
    <r>
      <rPr>
        <sz val="11"/>
        <color theme="1"/>
        <rFont val="Calibri"/>
        <family val="2"/>
        <scheme val="minor"/>
      </rPr>
      <t xml:space="preserve">
Total Natural Gas Savings by 2030: (therms) = Ncb × (Sa + R) x P</t>
    </r>
    <r>
      <rPr>
        <vertAlign val="subscript"/>
        <sz val="11"/>
        <color indexed="8"/>
        <rFont val="Calibri"/>
        <family val="2"/>
      </rPr>
      <t>2030</t>
    </r>
    <r>
      <rPr>
        <sz val="11"/>
        <color theme="1"/>
        <rFont val="Calibri"/>
        <family val="2"/>
        <scheme val="minor"/>
      </rPr>
      <t xml:space="preserve"> x N
</t>
    </r>
  </si>
  <si>
    <t>Total electricity savings by 2030=</t>
  </si>
  <si>
    <t>2030 CAP Target = 1,500,408 square feet of new construction residential space from 2005 to 2030</t>
  </si>
  <si>
    <t>Strategy E.2.1</t>
  </si>
  <si>
    <t>On-Site Renewable Energy for Homes</t>
  </si>
  <si>
    <t>Implement program for shade trees</t>
  </si>
  <si>
    <t>% of CAP</t>
  </si>
  <si>
    <r>
      <t>Average solar installation size</t>
    </r>
    <r>
      <rPr>
        <vertAlign val="superscript"/>
        <sz val="11"/>
        <color indexed="8"/>
        <rFont val="Calibri"/>
        <family val="2"/>
      </rPr>
      <t>1</t>
    </r>
  </si>
  <si>
    <t>kW</t>
  </si>
  <si>
    <t>P</t>
  </si>
  <si>
    <r>
      <t>Number of New Solar PV Systems by 2020</t>
    </r>
    <r>
      <rPr>
        <vertAlign val="superscript"/>
        <sz val="11"/>
        <color indexed="8"/>
        <rFont val="Calibri"/>
        <family val="2"/>
      </rPr>
      <t>2</t>
    </r>
  </si>
  <si>
    <t>systems</t>
  </si>
  <si>
    <r>
      <t>S</t>
    </r>
    <r>
      <rPr>
        <vertAlign val="subscript"/>
        <sz val="11"/>
        <color indexed="8"/>
        <rFont val="Calibri"/>
        <family val="2"/>
      </rPr>
      <t>2020</t>
    </r>
  </si>
  <si>
    <t>Hours of daylight in a year (assume six hours of sunlight per day)</t>
  </si>
  <si>
    <t>hrs/yr</t>
  </si>
  <si>
    <t>H</t>
  </si>
  <si>
    <t>Performance Ratio</t>
  </si>
  <si>
    <r>
      <rPr>
        <vertAlign val="superscript"/>
        <sz val="11"/>
        <color indexed="8"/>
        <rFont val="Calibri"/>
        <family val="2"/>
      </rPr>
      <t>1</t>
    </r>
    <r>
      <rPr>
        <sz val="11"/>
        <color theme="1"/>
        <rFont val="Calibri"/>
        <family val="2"/>
        <scheme val="minor"/>
      </rPr>
      <t>California Solar Initiative Average Solar Installation Size: http://www.pge.com/includes/docs/pdfs/myhome/saveenergymoney/solarenergy/solar_consumer_guide.pdf (pg. 8)</t>
    </r>
  </si>
  <si>
    <r>
      <rPr>
        <vertAlign val="superscript"/>
        <sz val="11"/>
        <color indexed="8"/>
        <rFont val="Calibri"/>
        <family val="2"/>
      </rPr>
      <t>2</t>
    </r>
    <r>
      <rPr>
        <sz val="11"/>
        <color theme="1"/>
        <rFont val="Calibri"/>
        <family val="2"/>
        <scheme val="minor"/>
      </rPr>
      <t>Assumed 10% of homes</t>
    </r>
  </si>
  <si>
    <r>
      <rPr>
        <vertAlign val="superscript"/>
        <sz val="11"/>
        <color indexed="8"/>
        <rFont val="Calibri"/>
        <family val="2"/>
      </rPr>
      <t>3</t>
    </r>
    <r>
      <rPr>
        <sz val="11"/>
        <color theme="1"/>
        <rFont val="Calibri"/>
        <family val="2"/>
        <scheme val="minor"/>
      </rPr>
      <t>Assumed 20% of homes</t>
    </r>
  </si>
  <si>
    <t xml:space="preserve">Solar capacity factor. http://en.wikipedia.org/wiki/Solar_power_in_California </t>
  </si>
  <si>
    <r>
      <rPr>
        <b/>
        <sz val="11"/>
        <rFont val="Calibri"/>
        <family val="2"/>
      </rPr>
      <t>Promote Small-scale On-site Renewable Energy for Homes:</t>
    </r>
    <r>
      <rPr>
        <sz val="11"/>
        <color theme="1"/>
        <rFont val="Calibri"/>
        <family val="2"/>
        <scheme val="minor"/>
      </rPr>
      <t xml:space="preserve">
Energy Savings (kWh): P x S x H x R x F
</t>
    </r>
  </si>
  <si>
    <t>Total Emissions Savings (MT)= (Se/1000×Efa)</t>
  </si>
  <si>
    <t>Action E-1.2e: Continue to participate in the San Joaquin Valley Clean Energy Partnership and the Northern Central Valley Energy Improvement Joint Powers Authority to apply for available Federal grant funding for residential energy efficiency projects.</t>
  </si>
  <si>
    <t>Action E-1.2d: Participate in a residential Property Assessed Clean Energy (PACE) Program.</t>
  </si>
  <si>
    <t>Strategy E 2.1 - Monitoring Worksheet</t>
  </si>
  <si>
    <t>Action E‐2.1a: Implement local ordinances and expedited permitting processes to support renewable
energy in new residential uses.</t>
  </si>
  <si>
    <t>Action E‐2.1b: Participate in a commercial Property Assessed Clean Energy (PACE) Program.</t>
  </si>
  <si>
    <t>Action E‐2.1c: Strive to promote existing financial incentives for renewable energy system installations.</t>
  </si>
  <si>
    <t xml:space="preserve">Increase on-site renewable energy generation and use in homes. </t>
  </si>
  <si>
    <t>* Number of New Solar PV Systems by 2020</t>
  </si>
  <si>
    <t>E.2.1</t>
  </si>
  <si>
    <t xml:space="preserve">Based on Employment Projections </t>
  </si>
  <si>
    <t xml:space="preserve">2020 CAP Target = 64,050 square feet = 100% of Post-2005 commercial square footage to be upgraded by 2020 </t>
  </si>
  <si>
    <t xml:space="preserve">2020 CAP Target= 192,150 square feet = 30% of City 2005 non-residential square footage upgraded by 2020 </t>
  </si>
  <si>
    <t>2020 CAP Target = 51 = 2% of housing units participating in the City Shade Tree Program by 2020.</t>
  </si>
  <si>
    <t>2020 CAP Target = 2.4 = 1% of commercial units participating in the City Shade Tree Program by 2020.</t>
  </si>
  <si>
    <t>CAP target = 255= 10% of City’s homes install solar system by 2020; average capacity = 4 kW.</t>
  </si>
  <si>
    <t>of 2020 target achieved</t>
  </si>
  <si>
    <t>Estimate</t>
  </si>
  <si>
    <t>10 CAP monitoring strategies by sector</t>
  </si>
  <si>
    <t>All 25 CAP strategies by sector</t>
  </si>
  <si>
    <t>Number of residential solar system installed since 2005.</t>
  </si>
  <si>
    <t>Use the Table of CAP Monitoring Strategies to view a status summary for all strategies being monitored, and to determine progress against the 2020 GHG emissions reduction target associated with these strategies.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</si>
</sst>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_(&quot;$&quot;* #,##0_);_(&quot;$&quot;* \(#,##0\);_(&quot;$&quot;* &quot;-&quot;??_);_(@_)"/>
    <numFmt numFmtId="168" formatCode="_(* #,##0.000_);_(* \(#,##0.000\);_(* &quot;-&quot;??_);_(@_)"/>
    <numFmt numFmtId="169" formatCode="0.0%"/>
    <numFmt numFmtId="170" formatCode="0.000000"/>
    <numFmt numFmtId="171" formatCode="#,##0.000"/>
    <numFmt numFmtId="172" formatCode="_(&quot;$&quot;* #,##0.000_);_(&quot;$&quot;* \(#,##0.000\);_(&quot;$&quot;* &quot;-&quot;??_);_(@_)"/>
    <numFmt numFmtId="173" formatCode="#,##0.0000"/>
    <numFmt numFmtId="174" formatCode="_(* #,##0.00000_);_(* \(#,##0.00000\);_(* &quot;-&quot;??_);_(@_)"/>
    <numFmt numFmtId="175" formatCode="#,##0.000000"/>
    <numFmt numFmtId="176" formatCode="[$-409]mmmm\ d\,\ yyyy;@"/>
  </numFmts>
  <fonts count="47" x14ac:knownFonts="1">
    <font>
      <sz val="11"/>
      <color theme="1"/>
      <name val="Calibri"/>
      <family val="2"/>
      <scheme val="minor"/>
    </font>
    <font>
      <sz val="11"/>
      <color indexed="8"/>
      <name val="Calibri"/>
      <family val="2"/>
    </font>
    <font>
      <sz val="11"/>
      <color indexed="8"/>
      <name val="Calibri"/>
      <family val="2"/>
    </font>
    <font>
      <b/>
      <sz val="11"/>
      <color indexed="8"/>
      <name val="Calibri"/>
      <family val="2"/>
    </font>
    <font>
      <b/>
      <sz val="20"/>
      <color indexed="8"/>
      <name val="Calibri"/>
      <family val="2"/>
    </font>
    <font>
      <u/>
      <sz val="9.9"/>
      <name val="Calibri"/>
      <family val="2"/>
    </font>
    <font>
      <sz val="10"/>
      <color indexed="8"/>
      <name val="Calibri"/>
      <family val="2"/>
    </font>
    <font>
      <b/>
      <sz val="12"/>
      <color indexed="8"/>
      <name val="Calibri"/>
      <family val="2"/>
    </font>
    <font>
      <sz val="11"/>
      <color indexed="8"/>
      <name val="Calibri"/>
      <family val="2"/>
    </font>
    <font>
      <sz val="10"/>
      <name val="Arial"/>
      <family val="2"/>
    </font>
    <font>
      <sz val="9"/>
      <name val="Arial"/>
      <family val="2"/>
    </font>
    <font>
      <b/>
      <sz val="10"/>
      <name val="Arial"/>
      <family val="2"/>
    </font>
    <font>
      <b/>
      <sz val="11"/>
      <color indexed="8"/>
      <name val="Arial"/>
      <family val="2"/>
    </font>
    <font>
      <i/>
      <sz val="11"/>
      <color indexed="8"/>
      <name val="Calibri"/>
      <family val="2"/>
    </font>
    <font>
      <vertAlign val="subscript"/>
      <sz val="11"/>
      <color indexed="8"/>
      <name val="Calibri"/>
      <family val="2"/>
    </font>
    <font>
      <sz val="11"/>
      <color indexed="8"/>
      <name val="Calibri"/>
      <family val="2"/>
    </font>
    <font>
      <sz val="10"/>
      <color indexed="8"/>
      <name val="Calibri"/>
      <family val="2"/>
    </font>
    <font>
      <sz val="8"/>
      <name val="Calibri"/>
      <family val="2"/>
    </font>
    <font>
      <strike/>
      <sz val="11"/>
      <color indexed="8"/>
      <name val="Calibri"/>
      <family val="2"/>
    </font>
    <font>
      <strike/>
      <vertAlign val="superscript"/>
      <sz val="11"/>
      <color indexed="8"/>
      <name val="Calibri"/>
      <family val="2"/>
    </font>
    <font>
      <b/>
      <sz val="11"/>
      <name val="Calibri"/>
      <family val="2"/>
    </font>
    <font>
      <sz val="11"/>
      <color indexed="8"/>
      <name val="Arial"/>
      <family val="2"/>
    </font>
    <font>
      <sz val="9"/>
      <color indexed="8"/>
      <name val="Calibri"/>
      <family val="2"/>
    </font>
    <font>
      <vertAlign val="superscript"/>
      <sz val="11"/>
      <color indexed="8"/>
      <name val="Calibri"/>
      <family val="2"/>
    </font>
    <font>
      <sz val="9.9"/>
      <name val="Calibri"/>
      <family val="2"/>
    </font>
    <font>
      <b/>
      <sz val="10"/>
      <name val="Calibri"/>
      <family val="2"/>
    </font>
    <font>
      <sz val="11"/>
      <color theme="1"/>
      <name val="Calibri"/>
      <family val="2"/>
      <scheme val="minor"/>
    </font>
    <font>
      <u/>
      <sz val="9.9"/>
      <color theme="10"/>
      <name val="Calibri"/>
      <family val="2"/>
    </font>
    <font>
      <b/>
      <sz val="11"/>
      <color theme="1"/>
      <name val="Calibri"/>
      <family val="2"/>
      <scheme val="minor"/>
    </font>
    <font>
      <sz val="9"/>
      <color theme="1"/>
      <name val="Calibri"/>
      <family val="2"/>
      <scheme val="minor"/>
    </font>
    <font>
      <b/>
      <sz val="11"/>
      <name val="Calibri"/>
      <family val="2"/>
      <scheme val="minor"/>
    </font>
    <font>
      <b/>
      <sz val="14"/>
      <color theme="1"/>
      <name val="Calibri"/>
      <family val="2"/>
      <scheme val="minor"/>
    </font>
    <font>
      <sz val="8"/>
      <color theme="1"/>
      <name val="Calibri"/>
      <family val="2"/>
      <scheme val="minor"/>
    </font>
    <font>
      <b/>
      <sz val="12"/>
      <color rgb="FF0070C0"/>
      <name val="Arial"/>
      <family val="2"/>
    </font>
    <font>
      <sz val="10"/>
      <color theme="1"/>
      <name val="Calibri"/>
      <family val="2"/>
      <scheme val="minor"/>
    </font>
    <font>
      <sz val="11"/>
      <color theme="1"/>
      <name val="Calibri"/>
      <family val="2"/>
    </font>
    <font>
      <strike/>
      <sz val="11"/>
      <color theme="1"/>
      <name val="Calibri"/>
      <family val="2"/>
      <scheme val="minor"/>
    </font>
    <font>
      <b/>
      <sz val="12"/>
      <color rgb="FF0070C0"/>
      <name val="Calibri"/>
      <family val="2"/>
      <scheme val="minor"/>
    </font>
    <font>
      <b/>
      <sz val="12"/>
      <color theme="1"/>
      <name val="Calibri"/>
      <family val="2"/>
      <scheme val="minor"/>
    </font>
    <font>
      <sz val="11"/>
      <color rgb="FFFF0000"/>
      <name val="Calibri"/>
      <family val="2"/>
      <scheme val="minor"/>
    </font>
    <font>
      <b/>
      <sz val="12"/>
      <name val="Calibri"/>
      <family val="2"/>
      <scheme val="minor"/>
    </font>
    <font>
      <sz val="11"/>
      <name val="Calibri"/>
      <family val="2"/>
      <scheme val="minor"/>
    </font>
    <font>
      <sz val="11"/>
      <color rgb="FF000000"/>
      <name val="Calibri"/>
      <family val="2"/>
      <scheme val="minor"/>
    </font>
    <font>
      <vertAlign val="superscript"/>
      <sz val="11"/>
      <color theme="1"/>
      <name val="Calibri"/>
      <family val="2"/>
      <scheme val="minor"/>
    </font>
    <font>
      <b/>
      <sz val="9"/>
      <color indexed="8"/>
      <name val="Calibri"/>
      <family val="2"/>
    </font>
    <font>
      <sz val="11"/>
      <name val="Calibri"/>
      <family val="2"/>
    </font>
    <font>
      <vertAlign val="subscript"/>
      <sz val="11"/>
      <name val="Calibri"/>
      <family val="2"/>
    </font>
  </fonts>
  <fills count="21">
    <fill>
      <patternFill patternType="none"/>
    </fill>
    <fill>
      <patternFill patternType="gray125"/>
    </fill>
    <fill>
      <patternFill patternType="solid">
        <fgColor indexed="50"/>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rgb="FF92D050"/>
        <bgColor indexed="64"/>
      </patternFill>
    </fill>
    <fill>
      <patternFill patternType="solid">
        <fgColor rgb="FFFFFF00"/>
        <bgColor indexed="64"/>
      </patternFill>
    </fill>
    <fill>
      <patternFill patternType="solid">
        <fgColor rgb="FFFFFF99"/>
        <bgColor indexed="64"/>
      </patternFill>
    </fill>
    <fill>
      <patternFill patternType="solid">
        <fgColor rgb="FF99CC0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0"/>
        <bgColor indexed="64"/>
      </patternFill>
    </fill>
    <fill>
      <patternFill patternType="solid">
        <fgColor rgb="FFFFC000"/>
        <bgColor indexed="64"/>
      </patternFill>
    </fill>
    <fill>
      <patternFill patternType="solid">
        <fgColor indexed="51"/>
        <bgColor indexed="64"/>
      </patternFill>
    </fill>
    <fill>
      <patternFill patternType="solid">
        <fgColor theme="4" tint="0.79998168889431442"/>
        <bgColor indexed="64"/>
      </patternFill>
    </fill>
  </fills>
  <borders count="7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style="medium">
        <color indexed="64"/>
      </right>
      <top/>
      <bottom/>
      <diagonal/>
    </border>
    <border>
      <left/>
      <right/>
      <top style="medium">
        <color indexed="64"/>
      </top>
      <bottom/>
      <diagonal/>
    </border>
    <border>
      <left/>
      <right/>
      <top style="thin">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top/>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5">
    <xf numFmtId="0" fontId="0"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7" fillId="0" borderId="0" applyNumberFormat="0" applyFill="0" applyBorder="0" applyAlignment="0" applyProtection="0">
      <alignment vertical="top"/>
      <protection locked="0"/>
    </xf>
    <xf numFmtId="0" fontId="9" fillId="0" borderId="0"/>
    <xf numFmtId="9" fontId="2"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943">
    <xf numFmtId="0" fontId="0" fillId="0" borderId="0" xfId="0"/>
    <xf numFmtId="0" fontId="0" fillId="0" borderId="1" xfId="0" applyBorder="1"/>
    <xf numFmtId="0" fontId="0" fillId="0" borderId="2" xfId="0" applyBorder="1"/>
    <xf numFmtId="0" fontId="0" fillId="0" borderId="3" xfId="0" applyBorder="1"/>
    <xf numFmtId="0" fontId="3" fillId="0" borderId="4" xfId="0" applyNumberFormat="1" applyFont="1" applyBorder="1" applyAlignment="1">
      <alignment horizontal="left" vertical="center" wrapText="1" indent="2"/>
    </xf>
    <xf numFmtId="0" fontId="3" fillId="0" borderId="5" xfId="0" applyNumberFormat="1" applyFont="1" applyBorder="1" applyAlignment="1">
      <alignment horizontal="left" vertical="center" wrapText="1" indent="2"/>
    </xf>
    <xf numFmtId="0" fontId="0" fillId="0" borderId="6"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10" xfId="0" applyNumberFormat="1" applyBorder="1" applyAlignment="1">
      <alignment vertical="center" wrapText="1"/>
    </xf>
    <xf numFmtId="0" fontId="0" fillId="0" borderId="8" xfId="0" applyNumberFormat="1" applyBorder="1" applyAlignment="1">
      <alignment vertical="center" wrapText="1"/>
    </xf>
    <xf numFmtId="3" fontId="0" fillId="0" borderId="6" xfId="0" applyNumberFormat="1" applyBorder="1" applyAlignment="1">
      <alignment horizontal="center" vertical="center" wrapText="1"/>
    </xf>
    <xf numFmtId="0" fontId="0" fillId="0" borderId="12" xfId="0" applyBorder="1" applyAlignment="1">
      <alignment horizontal="center"/>
    </xf>
    <xf numFmtId="0" fontId="0" fillId="0" borderId="13" xfId="0"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5" fillId="0" borderId="3" xfId="7" applyFont="1" applyBorder="1" applyAlignment="1" applyProtection="1"/>
    <xf numFmtId="0" fontId="3" fillId="0" borderId="15" xfId="0" applyFont="1" applyBorder="1" applyAlignment="1">
      <alignment horizontal="center"/>
    </xf>
    <xf numFmtId="0" fontId="0" fillId="0" borderId="16" xfId="0" applyBorder="1" applyAlignment="1">
      <alignment horizontal="right"/>
    </xf>
    <xf numFmtId="1" fontId="0" fillId="0" borderId="8" xfId="0" applyNumberFormat="1" applyFill="1" applyBorder="1" applyAlignment="1">
      <alignment horizontal="center" vertical="center" wrapText="1"/>
    </xf>
    <xf numFmtId="0" fontId="0" fillId="0" borderId="10" xfId="0" applyBorder="1"/>
    <xf numFmtId="0" fontId="3" fillId="0" borderId="17" xfId="0" applyFont="1" applyBorder="1" applyAlignment="1">
      <alignment horizontal="center"/>
    </xf>
    <xf numFmtId="0" fontId="3" fillId="0" borderId="0" xfId="0" applyFont="1" applyAlignment="1">
      <alignment horizontal="center"/>
    </xf>
    <xf numFmtId="0" fontId="3" fillId="0" borderId="7" xfId="0" applyFont="1" applyBorder="1"/>
    <xf numFmtId="0" fontId="0" fillId="0" borderId="0" xfId="0" applyNumberFormat="1" applyBorder="1" applyAlignment="1">
      <alignment horizontal="right" wrapText="1"/>
    </xf>
    <xf numFmtId="0" fontId="0" fillId="0" borderId="18" xfId="0" applyBorder="1"/>
    <xf numFmtId="0" fontId="0" fillId="0" borderId="2" xfId="0" applyNumberFormat="1" applyBorder="1" applyAlignment="1">
      <alignment horizontal="right" wrapText="1"/>
    </xf>
    <xf numFmtId="0" fontId="0" fillId="0" borderId="9" xfId="0" applyNumberFormat="1" applyBorder="1" applyAlignment="1">
      <alignment horizontal="right" wrapText="1"/>
    </xf>
    <xf numFmtId="0" fontId="0" fillId="0" borderId="13" xfId="0" applyNumberFormat="1" applyBorder="1" applyAlignment="1">
      <alignment horizontal="center" vertical="center" wrapText="1"/>
    </xf>
    <xf numFmtId="9" fontId="0" fillId="2" borderId="13" xfId="0" applyNumberFormat="1" applyFill="1" applyBorder="1" applyAlignment="1" applyProtection="1">
      <alignment horizontal="center" vertical="center" wrapText="1"/>
      <protection locked="0"/>
    </xf>
    <xf numFmtId="0" fontId="6" fillId="0" borderId="0" xfId="0" applyFont="1" applyAlignment="1">
      <alignment horizontal="left"/>
    </xf>
    <xf numFmtId="0" fontId="5" fillId="0" borderId="0" xfId="7" applyFont="1" applyAlignment="1" applyProtection="1"/>
    <xf numFmtId="3" fontId="0" fillId="0" borderId="2" xfId="0" applyNumberFormat="1" applyBorder="1" applyAlignment="1">
      <alignment horizontal="center" vertical="center" wrapText="1"/>
    </xf>
    <xf numFmtId="0" fontId="0" fillId="0" borderId="19" xfId="0" applyNumberFormat="1" applyBorder="1" applyAlignment="1">
      <alignment vertical="center" wrapText="1"/>
    </xf>
    <xf numFmtId="0" fontId="0" fillId="0" borderId="20" xfId="0" applyNumberFormat="1" applyBorder="1" applyAlignment="1">
      <alignment vertical="center" wrapText="1"/>
    </xf>
    <xf numFmtId="0" fontId="0" fillId="0" borderId="13" xfId="0" applyNumberFormat="1" applyBorder="1" applyAlignment="1">
      <alignment horizontal="center" wrapText="1"/>
    </xf>
    <xf numFmtId="0" fontId="0" fillId="0" borderId="2" xfId="0" applyNumberFormat="1" applyBorder="1" applyAlignment="1">
      <alignment horizontal="center" vertical="center" wrapText="1"/>
    </xf>
    <xf numFmtId="0" fontId="0" fillId="0" borderId="21" xfId="0" applyBorder="1"/>
    <xf numFmtId="0" fontId="0" fillId="0" borderId="0" xfId="0" applyNumberFormat="1" applyBorder="1" applyAlignment="1">
      <alignment vertical="center" wrapText="1"/>
    </xf>
    <xf numFmtId="0" fontId="0" fillId="0" borderId="7" xfId="0" applyNumberFormat="1" applyBorder="1" applyAlignment="1">
      <alignment vertical="center" wrapText="1"/>
    </xf>
    <xf numFmtId="0" fontId="0" fillId="0" borderId="6" xfId="0" applyNumberFormat="1" applyBorder="1" applyAlignment="1">
      <alignment vertical="center" wrapText="1"/>
    </xf>
    <xf numFmtId="0" fontId="0" fillId="0" borderId="22" xfId="0" applyNumberFormat="1" applyBorder="1" applyAlignment="1">
      <alignment vertical="center" wrapText="1"/>
    </xf>
    <xf numFmtId="0" fontId="0" fillId="0" borderId="0" xfId="0" applyNumberFormat="1" applyBorder="1" applyAlignment="1">
      <alignment wrapText="1"/>
    </xf>
    <xf numFmtId="0" fontId="16" fillId="0" borderId="0" xfId="0" applyFont="1" applyAlignment="1">
      <alignment horizontal="left"/>
    </xf>
    <xf numFmtId="0" fontId="0" fillId="0" borderId="0" xfId="0" applyNumberFormat="1" applyBorder="1" applyAlignment="1">
      <alignment horizontal="center" vertical="center" wrapText="1"/>
    </xf>
    <xf numFmtId="0" fontId="0" fillId="0" borderId="3" xfId="0" applyNumberFormat="1" applyBorder="1" applyAlignment="1">
      <alignment vertical="top" wrapText="1"/>
    </xf>
    <xf numFmtId="0" fontId="0" fillId="0" borderId="3" xfId="0" applyNumberFormat="1" applyBorder="1" applyAlignment="1">
      <alignment horizontal="center" vertical="center" wrapText="1"/>
    </xf>
    <xf numFmtId="3" fontId="0" fillId="0" borderId="3" xfId="0" applyNumberFormat="1" applyBorder="1" applyAlignment="1">
      <alignment horizontal="center" vertical="center" wrapText="1"/>
    </xf>
    <xf numFmtId="3" fontId="0" fillId="0" borderId="0" xfId="0" applyNumberFormat="1" applyBorder="1" applyAlignment="1">
      <alignment horizontal="center" vertical="center" wrapText="1"/>
    </xf>
    <xf numFmtId="1" fontId="0" fillId="0" borderId="19" xfId="0" applyNumberFormat="1" applyFill="1" applyBorder="1" applyAlignment="1">
      <alignment horizontal="center" vertical="center" wrapText="1"/>
    </xf>
    <xf numFmtId="0" fontId="3" fillId="0" borderId="0" xfId="0" applyFont="1" applyBorder="1"/>
    <xf numFmtId="3" fontId="0" fillId="0" borderId="9" xfId="0" applyNumberFormat="1" applyBorder="1" applyAlignment="1">
      <alignment horizontal="center" vertical="center" wrapText="1"/>
    </xf>
    <xf numFmtId="0" fontId="0" fillId="0" borderId="2" xfId="0" applyNumberFormat="1" applyBorder="1" applyAlignment="1">
      <alignment vertical="top" wrapText="1"/>
    </xf>
    <xf numFmtId="0" fontId="0" fillId="0" borderId="23" xfId="0" applyNumberFormat="1" applyBorder="1" applyAlignment="1">
      <alignment vertical="top" wrapText="1"/>
    </xf>
    <xf numFmtId="0" fontId="0" fillId="0" borderId="6" xfId="0" applyNumberFormat="1" applyBorder="1" applyAlignment="1">
      <alignment vertical="top" wrapText="1"/>
    </xf>
    <xf numFmtId="0" fontId="0" fillId="0" borderId="22" xfId="0" applyNumberFormat="1" applyBorder="1" applyAlignment="1">
      <alignment vertical="top" wrapText="1"/>
    </xf>
    <xf numFmtId="0" fontId="0" fillId="0" borderId="14" xfId="0" applyNumberFormat="1" applyBorder="1" applyAlignment="1">
      <alignment horizontal="center" wrapText="1"/>
    </xf>
    <xf numFmtId="164" fontId="0" fillId="0" borderId="0" xfId="0" applyNumberFormat="1"/>
    <xf numFmtId="4" fontId="0" fillId="3" borderId="13" xfId="0" applyNumberFormat="1" applyFill="1" applyBorder="1" applyAlignment="1" applyProtection="1">
      <alignment horizontal="center" wrapText="1"/>
      <protection locked="0"/>
    </xf>
    <xf numFmtId="0" fontId="27" fillId="0" borderId="0" xfId="7" applyAlignment="1" applyProtection="1"/>
    <xf numFmtId="0" fontId="0" fillId="0" borderId="0" xfId="0" applyFill="1" applyBorder="1"/>
    <xf numFmtId="167" fontId="26" fillId="3" borderId="13" xfId="4" applyNumberFormat="1" applyFont="1" applyFill="1" applyBorder="1" applyAlignment="1" applyProtection="1">
      <alignment horizontal="center" wrapText="1"/>
      <protection locked="0"/>
    </xf>
    <xf numFmtId="43" fontId="26" fillId="2" borderId="13" xfId="1" applyFont="1" applyFill="1" applyBorder="1" applyAlignment="1" applyProtection="1">
      <alignment horizontal="center" vertical="center" wrapText="1"/>
      <protection locked="0"/>
    </xf>
    <xf numFmtId="1" fontId="0" fillId="0" borderId="8" xfId="0" applyNumberFormat="1" applyFill="1" applyBorder="1" applyAlignment="1">
      <alignment vertical="center" wrapText="1"/>
    </xf>
    <xf numFmtId="1" fontId="0" fillId="0" borderId="0" xfId="0" applyNumberFormat="1" applyFill="1" applyBorder="1" applyAlignment="1">
      <alignment vertical="center" wrapText="1"/>
    </xf>
    <xf numFmtId="1" fontId="0" fillId="0" borderId="6" xfId="0" applyNumberFormat="1" applyFill="1" applyBorder="1" applyAlignment="1">
      <alignment vertical="center" wrapText="1"/>
    </xf>
    <xf numFmtId="172" fontId="26" fillId="2" borderId="13" xfId="4" applyNumberFormat="1" applyFont="1" applyFill="1" applyBorder="1" applyAlignment="1" applyProtection="1">
      <alignment horizontal="center" vertical="center" wrapText="1"/>
      <protection locked="0"/>
    </xf>
    <xf numFmtId="0" fontId="0" fillId="0" borderId="24" xfId="0" applyBorder="1"/>
    <xf numFmtId="0" fontId="0" fillId="0" borderId="2" xfId="0" applyBorder="1"/>
    <xf numFmtId="0" fontId="0" fillId="0" borderId="1" xfId="0" applyBorder="1"/>
    <xf numFmtId="0" fontId="0" fillId="0" borderId="0" xfId="0" applyNumberFormat="1" applyBorder="1" applyAlignment="1">
      <alignment horizontal="center" vertical="center" wrapText="1"/>
    </xf>
    <xf numFmtId="1" fontId="0" fillId="0" borderId="8" xfId="0" applyNumberFormat="1" applyFill="1" applyBorder="1" applyAlignment="1">
      <alignment horizontal="center" vertical="center" wrapText="1"/>
    </xf>
    <xf numFmtId="0" fontId="0" fillId="0" borderId="2" xfId="0" applyNumberFormat="1" applyBorder="1" applyAlignment="1">
      <alignment horizontal="center" vertical="center" wrapText="1"/>
    </xf>
    <xf numFmtId="0" fontId="0" fillId="0" borderId="3" xfId="0" applyNumberFormat="1" applyBorder="1" applyAlignment="1">
      <alignment horizontal="center" vertical="center" wrapText="1"/>
    </xf>
    <xf numFmtId="0" fontId="0" fillId="0" borderId="2" xfId="0" applyNumberFormat="1" applyBorder="1" applyAlignment="1">
      <alignment horizontal="left" vertical="top" wrapText="1"/>
    </xf>
    <xf numFmtId="0" fontId="0" fillId="0" borderId="2" xfId="0" applyBorder="1"/>
    <xf numFmtId="0" fontId="0" fillId="0" borderId="1" xfId="0" applyBorder="1"/>
    <xf numFmtId="0" fontId="0" fillId="0" borderId="2" xfId="0" applyNumberFormat="1" applyBorder="1" applyAlignment="1">
      <alignment horizontal="center" vertical="center" wrapText="1"/>
    </xf>
    <xf numFmtId="1" fontId="0" fillId="0" borderId="8" xfId="0" applyNumberFormat="1" applyFill="1" applyBorder="1" applyAlignment="1">
      <alignment horizontal="center" vertical="center" wrapText="1"/>
    </xf>
    <xf numFmtId="0" fontId="0" fillId="0" borderId="0" xfId="0" applyNumberFormat="1" applyBorder="1" applyAlignment="1">
      <alignment horizontal="left" vertical="top" wrapText="1"/>
    </xf>
    <xf numFmtId="0" fontId="0" fillId="0" borderId="25" xfId="0" applyNumberFormat="1" applyBorder="1" applyAlignment="1">
      <alignment horizontal="center" vertical="center" wrapText="1"/>
    </xf>
    <xf numFmtId="0" fontId="0" fillId="0" borderId="3" xfId="0" applyNumberFormat="1" applyBorder="1" applyAlignment="1">
      <alignment horizontal="left" vertical="top" wrapText="1"/>
    </xf>
    <xf numFmtId="0" fontId="0" fillId="0" borderId="3" xfId="0" applyNumberFormat="1" applyBorder="1" applyAlignment="1">
      <alignment horizontal="center" vertical="center" wrapText="1"/>
    </xf>
    <xf numFmtId="166" fontId="11" fillId="4" borderId="16" xfId="8" applyNumberFormat="1" applyFont="1" applyFill="1" applyBorder="1" applyAlignment="1"/>
    <xf numFmtId="3" fontId="0" fillId="7" borderId="13" xfId="0" applyNumberFormat="1" applyFill="1" applyBorder="1" applyAlignment="1" applyProtection="1">
      <alignment horizontal="center" vertical="center" wrapText="1"/>
      <protection locked="0"/>
    </xf>
    <xf numFmtId="9" fontId="26" fillId="7" borderId="13" xfId="9" applyFont="1" applyFill="1" applyBorder="1" applyAlignment="1" applyProtection="1">
      <alignment horizontal="center" vertical="center" wrapText="1"/>
      <protection locked="0"/>
    </xf>
    <xf numFmtId="3" fontId="0" fillId="7" borderId="13" xfId="0" applyNumberFormat="1" applyFill="1" applyBorder="1" applyAlignment="1" applyProtection="1">
      <alignment horizontal="center" vertical="center" wrapText="1"/>
    </xf>
    <xf numFmtId="9" fontId="15" fillId="7" borderId="13" xfId="9" applyFont="1" applyFill="1" applyBorder="1" applyAlignment="1" applyProtection="1">
      <alignment horizontal="center" vertical="center" wrapText="1"/>
    </xf>
    <xf numFmtId="0" fontId="0" fillId="8" borderId="0" xfId="0" applyFill="1" applyBorder="1"/>
    <xf numFmtId="0" fontId="0" fillId="0" borderId="0" xfId="0" applyFill="1"/>
    <xf numFmtId="166" fontId="11" fillId="4" borderId="2" xfId="8" applyNumberFormat="1" applyFont="1" applyFill="1" applyBorder="1" applyAlignment="1"/>
    <xf numFmtId="0" fontId="0" fillId="0" borderId="0" xfId="0" quotePrefix="1"/>
    <xf numFmtId="166" fontId="11" fillId="4" borderId="2" xfId="8" applyNumberFormat="1" applyFont="1" applyFill="1" applyBorder="1" applyAlignment="1">
      <alignment horizontal="left"/>
    </xf>
    <xf numFmtId="166" fontId="11" fillId="4" borderId="2" xfId="8" applyNumberFormat="1" applyFont="1" applyFill="1" applyBorder="1" applyAlignment="1">
      <alignment horizontal="left" vertical="top"/>
    </xf>
    <xf numFmtId="166" fontId="11" fillId="4" borderId="16" xfId="8" applyNumberFormat="1" applyFont="1" applyFill="1" applyBorder="1" applyAlignment="1">
      <alignment horizontal="left"/>
    </xf>
    <xf numFmtId="0" fontId="0" fillId="0" borderId="1" xfId="0" applyBorder="1"/>
    <xf numFmtId="9" fontId="11" fillId="4" borderId="2" xfId="8" applyNumberFormat="1" applyFont="1" applyFill="1" applyBorder="1" applyAlignment="1">
      <alignment wrapText="1"/>
    </xf>
    <xf numFmtId="169" fontId="28" fillId="0" borderId="0" xfId="9" applyNumberFormat="1" applyFont="1" applyFill="1" applyBorder="1"/>
    <xf numFmtId="0" fontId="28" fillId="0" borderId="0" xfId="0" applyFont="1" applyFill="1" applyBorder="1"/>
    <xf numFmtId="0" fontId="28" fillId="0" borderId="0" xfId="0" applyFont="1" applyAlignment="1">
      <alignment horizontal="right"/>
    </xf>
    <xf numFmtId="0" fontId="0" fillId="0" borderId="3" xfId="0" applyNumberFormat="1" applyBorder="1" applyAlignment="1">
      <alignment horizontal="left" vertical="top" wrapText="1"/>
    </xf>
    <xf numFmtId="0" fontId="3" fillId="0" borderId="2" xfId="0" applyFont="1" applyBorder="1" applyAlignment="1">
      <alignment horizontal="center"/>
    </xf>
    <xf numFmtId="0" fontId="0" fillId="0" borderId="2" xfId="0" applyBorder="1"/>
    <xf numFmtId="169" fontId="29" fillId="0" borderId="0" xfId="0" applyNumberFormat="1" applyFont="1" applyFill="1"/>
    <xf numFmtId="0" fontId="28" fillId="0" borderId="0" xfId="0" applyFont="1"/>
    <xf numFmtId="0" fontId="0" fillId="0" borderId="0" xfId="0" quotePrefix="1" applyBorder="1" applyAlignment="1">
      <alignment horizontal="right"/>
    </xf>
    <xf numFmtId="164" fontId="28" fillId="0" borderId="0" xfId="0" applyNumberFormat="1" applyFont="1" applyFill="1" applyBorder="1" applyAlignment="1">
      <alignment horizontal="left"/>
    </xf>
    <xf numFmtId="164" fontId="30" fillId="0" borderId="0" xfId="0" applyNumberFormat="1" applyFont="1" applyFill="1"/>
    <xf numFmtId="0" fontId="0" fillId="0" borderId="0" xfId="0" applyAlignment="1">
      <alignment horizontal="center"/>
    </xf>
    <xf numFmtId="0" fontId="0" fillId="0" borderId="13" xfId="0" applyBorder="1"/>
    <xf numFmtId="0" fontId="0" fillId="0" borderId="0" xfId="0" applyBorder="1" applyAlignment="1">
      <alignment horizontal="left"/>
    </xf>
    <xf numFmtId="0" fontId="0" fillId="0" borderId="0" xfId="0" applyAlignment="1">
      <alignment vertical="center"/>
    </xf>
    <xf numFmtId="166" fontId="11" fillId="4" borderId="29" xfId="8" applyNumberFormat="1" applyFont="1" applyFill="1" applyBorder="1" applyAlignment="1"/>
    <xf numFmtId="166" fontId="11" fillId="4" borderId="11" xfId="8" applyNumberFormat="1" applyFont="1" applyFill="1" applyBorder="1" applyAlignment="1">
      <alignment wrapText="1"/>
    </xf>
    <xf numFmtId="3" fontId="11" fillId="4" borderId="11" xfId="8" applyNumberFormat="1" applyFont="1" applyFill="1" applyBorder="1" applyAlignment="1">
      <alignment wrapText="1"/>
    </xf>
    <xf numFmtId="9" fontId="11" fillId="4" borderId="11" xfId="8" applyNumberFormat="1" applyFont="1" applyFill="1" applyBorder="1" applyAlignment="1">
      <alignment wrapText="1"/>
    </xf>
    <xf numFmtId="9" fontId="11" fillId="4" borderId="23" xfId="8" applyNumberFormat="1" applyFont="1" applyFill="1" applyBorder="1" applyAlignment="1">
      <alignment wrapText="1"/>
    </xf>
    <xf numFmtId="0" fontId="12" fillId="0" borderId="0" xfId="0" applyFont="1" applyFill="1" applyBorder="1" applyAlignment="1">
      <alignment horizontal="center" vertical="center" wrapText="1"/>
    </xf>
    <xf numFmtId="0" fontId="12" fillId="0" borderId="0" xfId="0" applyFont="1" applyBorder="1" applyAlignment="1">
      <alignment horizontal="left" wrapText="1"/>
    </xf>
    <xf numFmtId="9" fontId="11" fillId="4" borderId="26" xfId="8" applyNumberFormat="1" applyFont="1" applyFill="1" applyBorder="1" applyAlignment="1">
      <alignment wrapText="1"/>
    </xf>
    <xf numFmtId="0" fontId="21" fillId="0" borderId="32" xfId="0" applyFont="1" applyFill="1" applyBorder="1" applyAlignment="1">
      <alignment horizontal="center" wrapText="1"/>
    </xf>
    <xf numFmtId="0" fontId="21" fillId="0" borderId="33" xfId="0" applyFont="1" applyFill="1" applyBorder="1" applyAlignment="1">
      <alignment horizontal="center" wrapText="1"/>
    </xf>
    <xf numFmtId="0" fontId="12" fillId="0" borderId="34" xfId="0" applyFont="1" applyBorder="1" applyAlignment="1">
      <alignment horizontal="center" wrapText="1"/>
    </xf>
    <xf numFmtId="0" fontId="31" fillId="0" borderId="0" xfId="0" applyFont="1"/>
    <xf numFmtId="0" fontId="4" fillId="0" borderId="0" xfId="0" applyNumberFormat="1" applyFont="1" applyAlignment="1">
      <alignment horizontal="left" vertical="center"/>
    </xf>
    <xf numFmtId="0" fontId="6" fillId="0" borderId="0" xfId="0" applyNumberFormat="1" applyFont="1" applyAlignment="1">
      <alignment horizontal="left" vertical="center"/>
    </xf>
    <xf numFmtId="0" fontId="4" fillId="0" borderId="0" xfId="0" applyNumberFormat="1" applyFont="1" applyAlignment="1">
      <alignment horizontal="center" vertical="center"/>
    </xf>
    <xf numFmtId="0" fontId="3" fillId="0" borderId="14" xfId="0" applyFont="1" applyBorder="1" applyAlignment="1"/>
    <xf numFmtId="0" fontId="3" fillId="0" borderId="1" xfId="0" applyFont="1" applyBorder="1" applyAlignment="1"/>
    <xf numFmtId="0" fontId="0" fillId="0" borderId="17" xfId="0" applyBorder="1"/>
    <xf numFmtId="3" fontId="0" fillId="9" borderId="13" xfId="0" applyNumberFormat="1" applyFill="1" applyBorder="1" applyAlignment="1" applyProtection="1">
      <alignment horizontal="center" wrapText="1"/>
    </xf>
    <xf numFmtId="0" fontId="0" fillId="0" borderId="17" xfId="0" applyBorder="1" applyAlignment="1">
      <alignment horizontal="center"/>
    </xf>
    <xf numFmtId="0" fontId="0" fillId="0" borderId="14" xfId="0" applyBorder="1"/>
    <xf numFmtId="165" fontId="0" fillId="9" borderId="13" xfId="0" applyNumberFormat="1" applyFill="1" applyBorder="1" applyAlignment="1" applyProtection="1">
      <alignment horizontal="center" wrapText="1"/>
    </xf>
    <xf numFmtId="4" fontId="0" fillId="9" borderId="13" xfId="0" applyNumberFormat="1" applyFill="1" applyBorder="1" applyAlignment="1" applyProtection="1">
      <alignment horizontal="center" wrapText="1"/>
    </xf>
    <xf numFmtId="2" fontId="0" fillId="0" borderId="0" xfId="0" applyNumberFormat="1"/>
    <xf numFmtId="173" fontId="0" fillId="0" borderId="0" xfId="0" applyNumberFormat="1"/>
    <xf numFmtId="170" fontId="0" fillId="0" borderId="0" xfId="0" applyNumberFormat="1"/>
    <xf numFmtId="173" fontId="0" fillId="9" borderId="13" xfId="0" applyNumberFormat="1" applyFill="1" applyBorder="1" applyAlignment="1" applyProtection="1">
      <alignment horizontal="center" wrapText="1"/>
    </xf>
    <xf numFmtId="173" fontId="0" fillId="9" borderId="13" xfId="0" applyNumberFormat="1" applyFill="1" applyBorder="1" applyAlignment="1" applyProtection="1">
      <alignment horizontal="center" vertical="center" wrapText="1"/>
    </xf>
    <xf numFmtId="0" fontId="1" fillId="0" borderId="1" xfId="0" applyNumberFormat="1" applyFont="1" applyBorder="1" applyAlignment="1">
      <alignment horizontal="center" vertical="center" wrapText="1"/>
    </xf>
    <xf numFmtId="0" fontId="0" fillId="0" borderId="0" xfId="0" applyAlignment="1"/>
    <xf numFmtId="174" fontId="0" fillId="0" borderId="0" xfId="0" applyNumberFormat="1"/>
    <xf numFmtId="43" fontId="0" fillId="0" borderId="0" xfId="0" applyNumberFormat="1"/>
    <xf numFmtId="43" fontId="1" fillId="0" borderId="0" xfId="2" applyFont="1"/>
    <xf numFmtId="4" fontId="0" fillId="9" borderId="13" xfId="0" applyNumberFormat="1" applyFill="1" applyBorder="1" applyAlignment="1" applyProtection="1">
      <alignment horizontal="center" vertical="center" wrapText="1"/>
    </xf>
    <xf numFmtId="165" fontId="0" fillId="9" borderId="13" xfId="0" applyNumberFormat="1" applyFill="1" applyBorder="1" applyAlignment="1" applyProtection="1">
      <alignment horizontal="center" vertical="center" wrapText="1"/>
    </xf>
    <xf numFmtId="3" fontId="0" fillId="0" borderId="3" xfId="0" applyNumberFormat="1" applyFill="1" applyBorder="1" applyAlignment="1" applyProtection="1">
      <alignment horizontal="center" vertical="center" wrapText="1"/>
    </xf>
    <xf numFmtId="44" fontId="26" fillId="3" borderId="13" xfId="5" applyNumberFormat="1" applyFont="1" applyFill="1" applyBorder="1" applyAlignment="1" applyProtection="1">
      <alignment horizontal="center" wrapText="1"/>
      <protection locked="0"/>
    </xf>
    <xf numFmtId="0" fontId="32" fillId="0" borderId="0" xfId="0" applyFont="1"/>
    <xf numFmtId="0" fontId="0" fillId="0" borderId="13" xfId="0" applyNumberFormat="1" applyFill="1" applyBorder="1" applyAlignment="1">
      <alignment horizontal="center" wrapText="1"/>
    </xf>
    <xf numFmtId="169" fontId="26" fillId="3" borderId="13" xfId="11" applyNumberFormat="1" applyFont="1" applyFill="1" applyBorder="1" applyAlignment="1" applyProtection="1">
      <alignment horizontal="center" wrapText="1"/>
    </xf>
    <xf numFmtId="167" fontId="26" fillId="3" borderId="13" xfId="5" applyNumberFormat="1" applyFont="1" applyFill="1" applyBorder="1" applyAlignment="1" applyProtection="1">
      <alignment horizontal="center" wrapText="1"/>
      <protection locked="0"/>
    </xf>
    <xf numFmtId="43" fontId="26" fillId="2" borderId="13" xfId="2" applyFont="1" applyFill="1" applyBorder="1" applyAlignment="1" applyProtection="1">
      <alignment horizontal="center" vertical="center" wrapText="1"/>
      <protection locked="0"/>
    </xf>
    <xf numFmtId="167" fontId="26" fillId="0" borderId="0" xfId="5" applyNumberFormat="1" applyFont="1" applyFill="1" applyBorder="1" applyAlignment="1">
      <alignment vertical="center" wrapText="1"/>
    </xf>
    <xf numFmtId="3" fontId="0" fillId="10" borderId="13" xfId="0" applyNumberFormat="1" applyFill="1" applyBorder="1" applyAlignment="1" applyProtection="1">
      <alignment horizontal="center" vertical="center" wrapText="1"/>
    </xf>
    <xf numFmtId="43" fontId="1" fillId="3" borderId="13" xfId="2" applyNumberFormat="1" applyFont="1" applyFill="1" applyBorder="1" applyAlignment="1" applyProtection="1">
      <alignment horizontal="center" vertical="center" wrapText="1"/>
    </xf>
    <xf numFmtId="3" fontId="0" fillId="0" borderId="25" xfId="0" applyNumberFormat="1" applyBorder="1" applyAlignment="1">
      <alignment horizontal="center" vertical="center" wrapText="1"/>
    </xf>
    <xf numFmtId="175" fontId="0" fillId="3" borderId="13" xfId="0" applyNumberFormat="1" applyFill="1" applyBorder="1" applyAlignment="1" applyProtection="1">
      <alignment horizontal="center" vertical="center" wrapText="1"/>
    </xf>
    <xf numFmtId="3" fontId="0" fillId="3" borderId="13" xfId="0" applyNumberFormat="1" applyFill="1" applyBorder="1" applyAlignment="1" applyProtection="1">
      <alignment horizontal="center" vertical="center" wrapText="1"/>
    </xf>
    <xf numFmtId="4" fontId="0" fillId="3" borderId="13" xfId="0" applyNumberFormat="1" applyFill="1" applyBorder="1" applyAlignment="1" applyProtection="1">
      <alignment horizontal="center" vertical="center" wrapText="1"/>
    </xf>
    <xf numFmtId="0" fontId="0" fillId="0" borderId="39" xfId="0" applyBorder="1" applyAlignment="1">
      <alignment horizontal="center"/>
    </xf>
    <xf numFmtId="164" fontId="15" fillId="12" borderId="24" xfId="1" applyNumberFormat="1" applyFont="1" applyFill="1" applyBorder="1" applyAlignment="1">
      <alignment vertical="center" wrapText="1"/>
    </xf>
    <xf numFmtId="164" fontId="15" fillId="12" borderId="40" xfId="1" applyNumberFormat="1" applyFont="1" applyFill="1" applyBorder="1" applyAlignment="1">
      <alignment vertical="center" wrapText="1"/>
    </xf>
    <xf numFmtId="164" fontId="15" fillId="13" borderId="42" xfId="1" applyNumberFormat="1" applyFont="1" applyFill="1" applyBorder="1" applyAlignment="1">
      <alignment vertical="center" wrapText="1"/>
    </xf>
    <xf numFmtId="164" fontId="15" fillId="13" borderId="43" xfId="1" applyNumberFormat="1" applyFont="1" applyFill="1" applyBorder="1" applyAlignment="1">
      <alignment vertical="center" wrapText="1"/>
    </xf>
    <xf numFmtId="166" fontId="11" fillId="0" borderId="0" xfId="8" quotePrefix="1" applyNumberFormat="1" applyFont="1" applyFill="1" applyBorder="1" applyAlignment="1"/>
    <xf numFmtId="164" fontId="15" fillId="12" borderId="13" xfId="1" applyNumberFormat="1" applyFont="1" applyFill="1" applyBorder="1" applyAlignment="1">
      <alignment vertical="center" wrapText="1"/>
    </xf>
    <xf numFmtId="0" fontId="0" fillId="13" borderId="45" xfId="0" applyFill="1" applyBorder="1" applyAlignment="1">
      <alignment vertical="center" wrapText="1"/>
    </xf>
    <xf numFmtId="0" fontId="0" fillId="13" borderId="46" xfId="0" applyFill="1" applyBorder="1" applyAlignment="1">
      <alignment vertical="center" wrapText="1"/>
    </xf>
    <xf numFmtId="0" fontId="0" fillId="0" borderId="0" xfId="0" applyAlignment="1">
      <alignment vertical="top"/>
    </xf>
    <xf numFmtId="0" fontId="0" fillId="0" borderId="0" xfId="0" applyAlignment="1">
      <alignment vertical="top" wrapText="1"/>
    </xf>
    <xf numFmtId="166" fontId="33" fillId="0" borderId="0" xfId="8" quotePrefix="1" applyNumberFormat="1" applyFont="1" applyFill="1" applyBorder="1" applyAlignment="1"/>
    <xf numFmtId="0" fontId="28" fillId="0" borderId="0" xfId="0" quotePrefix="1" applyFont="1"/>
    <xf numFmtId="166" fontId="10" fillId="13" borderId="47" xfId="8" applyNumberFormat="1" applyFont="1" applyFill="1" applyBorder="1" applyAlignment="1">
      <alignment horizontal="center" vertical="center" wrapText="1"/>
    </xf>
    <xf numFmtId="166" fontId="10" fillId="13" borderId="4" xfId="8" applyNumberFormat="1" applyFont="1" applyFill="1" applyBorder="1" applyAlignment="1">
      <alignment horizontal="center" vertical="center" wrapText="1"/>
    </xf>
    <xf numFmtId="166" fontId="10" fillId="6" borderId="48" xfId="8" applyNumberFormat="1" applyFont="1" applyFill="1" applyBorder="1" applyAlignment="1">
      <alignment horizontal="center" vertical="center" wrapText="1"/>
    </xf>
    <xf numFmtId="166" fontId="10" fillId="13" borderId="49" xfId="8" applyNumberFormat="1" applyFont="1" applyFill="1" applyBorder="1" applyAlignment="1">
      <alignment horizontal="center" vertical="center" wrapText="1"/>
    </xf>
    <xf numFmtId="166" fontId="11" fillId="4" borderId="11" xfId="8" applyNumberFormat="1" applyFont="1" applyFill="1" applyBorder="1" applyAlignment="1"/>
    <xf numFmtId="0" fontId="0" fillId="13" borderId="50" xfId="0" applyFont="1" applyFill="1" applyBorder="1" applyAlignment="1">
      <alignment horizontal="center" vertical="center"/>
    </xf>
    <xf numFmtId="0" fontId="0" fillId="0" borderId="0" xfId="0" applyFill="1" applyBorder="1" applyAlignment="1"/>
    <xf numFmtId="0" fontId="0" fillId="0" borderId="0" xfId="0" applyAlignment="1">
      <alignment wrapText="1"/>
    </xf>
    <xf numFmtId="169" fontId="28" fillId="0" borderId="0" xfId="0" applyNumberFormat="1" applyFont="1" applyFill="1"/>
    <xf numFmtId="0" fontId="31" fillId="0" borderId="0" xfId="0" applyFont="1" applyBorder="1" applyAlignment="1">
      <alignment horizontal="left"/>
    </xf>
    <xf numFmtId="0" fontId="0" fillId="0" borderId="52" xfId="0" applyFont="1" applyBorder="1" applyAlignment="1">
      <alignment horizontal="center"/>
    </xf>
    <xf numFmtId="0" fontId="0" fillId="0" borderId="53" xfId="0" applyBorder="1" applyAlignment="1">
      <alignment horizontal="center"/>
    </xf>
    <xf numFmtId="169" fontId="26" fillId="0" borderId="18" xfId="9" applyNumberFormat="1" applyFont="1" applyBorder="1"/>
    <xf numFmtId="0" fontId="0" fillId="13" borderId="35" xfId="0" applyFill="1" applyBorder="1" applyAlignment="1">
      <alignment horizontal="right"/>
    </xf>
    <xf numFmtId="169" fontId="26" fillId="0" borderId="7" xfId="9" applyNumberFormat="1" applyFont="1" applyBorder="1"/>
    <xf numFmtId="164" fontId="0" fillId="0" borderId="43" xfId="0" applyNumberFormat="1" applyFill="1" applyBorder="1"/>
    <xf numFmtId="0" fontId="0" fillId="13" borderId="28" xfId="0" applyFill="1" applyBorder="1" applyAlignment="1">
      <alignment horizontal="right"/>
    </xf>
    <xf numFmtId="0" fontId="0" fillId="13" borderId="48" xfId="0" applyFill="1" applyBorder="1" applyAlignment="1">
      <alignment horizontal="right"/>
    </xf>
    <xf numFmtId="0" fontId="0" fillId="0" borderId="29" xfId="0" applyFont="1" applyBorder="1" applyAlignment="1">
      <alignment horizontal="center"/>
    </xf>
    <xf numFmtId="0" fontId="0" fillId="0" borderId="2" xfId="0" applyBorder="1"/>
    <xf numFmtId="0" fontId="0" fillId="0" borderId="1" xfId="0" applyBorder="1"/>
    <xf numFmtId="0" fontId="4" fillId="0" borderId="0" xfId="0" applyNumberFormat="1" applyFont="1" applyAlignment="1">
      <alignment horizontal="left" vertical="center" wrapText="1"/>
    </xf>
    <xf numFmtId="0" fontId="5" fillId="0" borderId="8" xfId="7" applyFont="1" applyBorder="1" applyAlignment="1" applyProtection="1"/>
    <xf numFmtId="0" fontId="0" fillId="0" borderId="2" xfId="0" applyBorder="1" applyAlignment="1">
      <alignment horizontal="center"/>
    </xf>
    <xf numFmtId="0" fontId="0" fillId="0" borderId="3" xfId="0" applyBorder="1" applyAlignment="1">
      <alignment horizontal="center"/>
    </xf>
    <xf numFmtId="49" fontId="0" fillId="0" borderId="0" xfId="0" applyNumberFormat="1"/>
    <xf numFmtId="0" fontId="5" fillId="0" borderId="0" xfId="7" applyFont="1" applyBorder="1" applyAlignment="1" applyProtection="1"/>
    <xf numFmtId="169" fontId="26" fillId="3" borderId="13" xfId="11" applyNumberFormat="1" applyFont="1" applyFill="1" applyBorder="1" applyAlignment="1" applyProtection="1">
      <alignment horizontal="center" vertical="center" wrapText="1"/>
    </xf>
    <xf numFmtId="4" fontId="0" fillId="3" borderId="13" xfId="0" applyNumberFormat="1" applyFill="1" applyBorder="1" applyAlignment="1" applyProtection="1">
      <alignment horizontal="center" vertical="center" wrapText="1"/>
      <protection locked="0"/>
    </xf>
    <xf numFmtId="165" fontId="0" fillId="3" borderId="13" xfId="0" applyNumberFormat="1" applyFill="1" applyBorder="1" applyAlignment="1" applyProtection="1">
      <alignment horizontal="center" wrapText="1"/>
    </xf>
    <xf numFmtId="3" fontId="0" fillId="3" borderId="13" xfId="0" applyNumberFormat="1" applyFill="1" applyBorder="1" applyAlignment="1" applyProtection="1">
      <alignment horizontal="center" wrapText="1"/>
    </xf>
    <xf numFmtId="0" fontId="4" fillId="0" borderId="0" xfId="0" applyNumberFormat="1" applyFont="1" applyAlignment="1">
      <alignment horizontal="left" vertical="center"/>
    </xf>
    <xf numFmtId="0" fontId="3" fillId="0" borderId="28" xfId="0" applyNumberFormat="1" applyFont="1" applyBorder="1" applyAlignment="1">
      <alignment horizontal="center" vertical="center" wrapText="1"/>
    </xf>
    <xf numFmtId="166" fontId="10" fillId="12" borderId="13" xfId="8" applyNumberFormat="1" applyFont="1" applyFill="1" applyBorder="1" applyAlignment="1">
      <alignment horizontal="center" vertical="center" wrapText="1"/>
    </xf>
    <xf numFmtId="0" fontId="21" fillId="0" borderId="31" xfId="0" applyFont="1" applyBorder="1" applyAlignment="1">
      <alignment horizontal="center" vertical="center" wrapText="1"/>
    </xf>
    <xf numFmtId="0" fontId="21" fillId="12" borderId="56" xfId="0" applyFont="1" applyFill="1" applyBorder="1" applyAlignment="1">
      <alignment horizontal="center" vertical="center" wrapText="1"/>
    </xf>
    <xf numFmtId="0" fontId="21" fillId="0" borderId="32" xfId="0" applyFont="1" applyBorder="1" applyAlignment="1">
      <alignment horizontal="center" vertical="center" wrapText="1"/>
    </xf>
    <xf numFmtId="0" fontId="21" fillId="12" borderId="32" xfId="0" applyFont="1" applyFill="1" applyBorder="1" applyAlignment="1">
      <alignment horizontal="center" vertical="center" wrapText="1"/>
    </xf>
    <xf numFmtId="167" fontId="0" fillId="13" borderId="48" xfId="5" applyNumberFormat="1" applyFont="1" applyFill="1" applyBorder="1" applyAlignment="1">
      <alignment horizontal="right"/>
    </xf>
    <xf numFmtId="0" fontId="38" fillId="0" borderId="0" xfId="0" applyFont="1" applyAlignment="1">
      <alignment horizontal="right"/>
    </xf>
    <xf numFmtId="0" fontId="38" fillId="0" borderId="0" xfId="0" applyFont="1" applyFill="1" applyAlignment="1">
      <alignment horizontal="right"/>
    </xf>
    <xf numFmtId="175" fontId="0" fillId="9" borderId="13" xfId="0" applyNumberFormat="1" applyFill="1" applyBorder="1" applyAlignment="1" applyProtection="1">
      <alignment horizontal="center" vertical="center" wrapText="1"/>
    </xf>
    <xf numFmtId="0" fontId="39" fillId="0" borderId="0" xfId="0" applyFont="1" applyAlignment="1">
      <alignment vertical="top"/>
    </xf>
    <xf numFmtId="0" fontId="0" fillId="13" borderId="45" xfId="0" applyFill="1" applyBorder="1" applyAlignment="1">
      <alignment vertical="center" wrapText="1"/>
    </xf>
    <xf numFmtId="0" fontId="41" fillId="0" borderId="0" xfId="0" applyFont="1" applyAlignment="1">
      <alignment vertical="top"/>
    </xf>
    <xf numFmtId="169" fontId="0" fillId="7" borderId="13" xfId="0" applyNumberFormat="1" applyFill="1" applyBorder="1" applyAlignment="1" applyProtection="1">
      <alignment horizontal="center" vertical="center" wrapText="1"/>
      <protection locked="0"/>
    </xf>
    <xf numFmtId="3" fontId="0" fillId="9" borderId="13" xfId="0" applyNumberFormat="1" applyFill="1" applyBorder="1" applyAlignment="1" applyProtection="1">
      <alignment horizontal="center" vertical="center" wrapText="1"/>
    </xf>
    <xf numFmtId="0" fontId="0" fillId="9" borderId="13" xfId="0" applyNumberFormat="1" applyFill="1" applyBorder="1" applyAlignment="1" applyProtection="1">
      <alignment horizontal="center" vertical="center" wrapText="1"/>
    </xf>
    <xf numFmtId="0" fontId="0" fillId="18" borderId="0" xfId="0" applyFill="1"/>
    <xf numFmtId="43" fontId="1" fillId="18" borderId="0" xfId="2" applyFont="1" applyFill="1"/>
    <xf numFmtId="0" fontId="42" fillId="0" borderId="0" xfId="0" applyFont="1"/>
    <xf numFmtId="0" fontId="0" fillId="19" borderId="0" xfId="0" applyFill="1"/>
    <xf numFmtId="0" fontId="0" fillId="7" borderId="24" xfId="0" applyFont="1" applyFill="1" applyBorder="1" applyAlignment="1" applyProtection="1">
      <alignment horizontal="center" vertical="center"/>
      <protection locked="0"/>
    </xf>
    <xf numFmtId="0" fontId="0" fillId="7" borderId="50" xfId="0" applyFill="1" applyBorder="1" applyAlignment="1" applyProtection="1">
      <alignment horizontal="center" vertical="center"/>
      <protection locked="0"/>
    </xf>
    <xf numFmtId="0" fontId="0" fillId="7" borderId="40" xfId="0" applyFont="1" applyFill="1" applyBorder="1" applyAlignment="1" applyProtection="1">
      <alignment horizontal="center" vertical="center"/>
      <protection locked="0"/>
    </xf>
    <xf numFmtId="0" fontId="0" fillId="7" borderId="50" xfId="0" applyFont="1" applyFill="1" applyBorder="1" applyAlignment="1" applyProtection="1">
      <alignment horizontal="center" vertical="center"/>
      <protection locked="0"/>
    </xf>
    <xf numFmtId="0" fontId="0" fillId="7" borderId="41" xfId="0" applyFont="1" applyFill="1" applyBorder="1" applyAlignment="1" applyProtection="1">
      <alignment horizontal="center" vertical="center"/>
      <protection locked="0"/>
    </xf>
    <xf numFmtId="0" fontId="0" fillId="0" borderId="0" xfId="0" applyProtection="1"/>
    <xf numFmtId="0" fontId="4" fillId="0" borderId="0" xfId="0" applyNumberFormat="1" applyFont="1" applyAlignment="1" applyProtection="1">
      <alignment horizontal="left" vertical="center" wrapText="1"/>
    </xf>
    <xf numFmtId="0" fontId="0" fillId="0" borderId="0" xfId="0" quotePrefix="1" applyProtection="1"/>
    <xf numFmtId="0" fontId="3" fillId="0" borderId="5" xfId="0" applyNumberFormat="1" applyFont="1" applyBorder="1" applyAlignment="1" applyProtection="1">
      <alignment horizontal="left" vertical="center" wrapText="1" indent="2"/>
    </xf>
    <xf numFmtId="0" fontId="3" fillId="0" borderId="4" xfId="0" applyNumberFormat="1" applyFont="1" applyBorder="1" applyAlignment="1" applyProtection="1">
      <alignment horizontal="left" vertical="center" wrapText="1" indent="2"/>
    </xf>
    <xf numFmtId="0" fontId="3" fillId="0" borderId="28" xfId="0" applyNumberFormat="1" applyFont="1" applyBorder="1" applyAlignment="1" applyProtection="1">
      <alignment horizontal="left" vertical="center" wrapText="1" indent="2"/>
    </xf>
    <xf numFmtId="0" fontId="0" fillId="0" borderId="0" xfId="0" applyNumberFormat="1" applyBorder="1" applyAlignment="1" applyProtection="1">
      <alignment horizontal="left" vertical="center" wrapText="1"/>
    </xf>
    <xf numFmtId="0" fontId="0" fillId="0" borderId="39" xfId="0" applyFont="1" applyBorder="1" applyAlignment="1" applyProtection="1">
      <alignment horizontal="center"/>
    </xf>
    <xf numFmtId="0" fontId="0" fillId="13" borderId="13" xfId="0" applyFont="1" applyFill="1" applyBorder="1" applyAlignment="1" applyProtection="1">
      <alignment horizontal="center" vertical="center"/>
    </xf>
    <xf numFmtId="0" fontId="0" fillId="13" borderId="50" xfId="0" applyFont="1" applyFill="1" applyBorder="1" applyAlignment="1" applyProtection="1">
      <alignment horizontal="center" vertical="center"/>
    </xf>
    <xf numFmtId="0" fontId="0" fillId="0" borderId="3" xfId="0" applyBorder="1" applyProtection="1"/>
    <xf numFmtId="0" fontId="0" fillId="0" borderId="2" xfId="0" applyBorder="1" applyProtection="1"/>
    <xf numFmtId="0" fontId="0" fillId="0" borderId="1" xfId="0" applyBorder="1" applyProtection="1"/>
    <xf numFmtId="0" fontId="0" fillId="0" borderId="0" xfId="0" applyBorder="1" applyProtection="1"/>
    <xf numFmtId="0" fontId="3" fillId="0" borderId="17" xfId="0" applyFont="1" applyBorder="1" applyAlignment="1" applyProtection="1">
      <alignment horizontal="center"/>
    </xf>
    <xf numFmtId="0" fontId="3" fillId="0" borderId="14" xfId="0" applyFont="1" applyBorder="1" applyAlignment="1" applyProtection="1">
      <alignment horizontal="center"/>
    </xf>
    <xf numFmtId="0" fontId="3" fillId="0" borderId="13" xfId="0" applyFont="1" applyBorder="1" applyAlignment="1" applyProtection="1">
      <alignment horizontal="center"/>
    </xf>
    <xf numFmtId="0" fontId="0" fillId="0" borderId="0" xfId="0" applyNumberFormat="1" applyBorder="1" applyAlignment="1" applyProtection="1">
      <alignment wrapText="1"/>
    </xf>
    <xf numFmtId="0" fontId="0" fillId="0" borderId="13" xfId="0" applyNumberFormat="1" applyBorder="1" applyAlignment="1" applyProtection="1">
      <alignment horizontal="center" vertical="center" wrapText="1"/>
    </xf>
    <xf numFmtId="0" fontId="0" fillId="0" borderId="12" xfId="0" applyBorder="1" applyAlignment="1" applyProtection="1">
      <alignment horizontal="center" vertical="center"/>
    </xf>
    <xf numFmtId="0" fontId="0" fillId="0" borderId="0" xfId="0" applyBorder="1" applyAlignment="1" applyProtection="1">
      <alignment vertical="center"/>
    </xf>
    <xf numFmtId="169" fontId="26" fillId="13" borderId="13" xfId="11" applyNumberFormat="1" applyFont="1" applyFill="1" applyBorder="1" applyAlignment="1" applyProtection="1">
      <alignment horizontal="center" vertical="center" wrapText="1"/>
    </xf>
    <xf numFmtId="0" fontId="0" fillId="0" borderId="0" xfId="0" applyNumberFormat="1" applyBorder="1" applyAlignment="1" applyProtection="1">
      <alignment vertical="center" wrapText="1"/>
    </xf>
    <xf numFmtId="0" fontId="0" fillId="0" borderId="13" xfId="0" applyBorder="1" applyAlignment="1" applyProtection="1">
      <alignment horizontal="center" vertical="center"/>
    </xf>
    <xf numFmtId="4" fontId="0" fillId="13" borderId="13" xfId="0" applyNumberFormat="1" applyFill="1" applyBorder="1" applyAlignment="1" applyProtection="1">
      <alignment horizontal="center" vertical="center" wrapText="1"/>
    </xf>
    <xf numFmtId="0" fontId="0" fillId="0" borderId="0" xfId="0" applyNumberFormat="1" applyBorder="1" applyAlignment="1" applyProtection="1">
      <alignment horizontal="left" vertical="top" wrapText="1"/>
    </xf>
    <xf numFmtId="4" fontId="0" fillId="0" borderId="0" xfId="0" applyNumberFormat="1" applyFill="1" applyBorder="1" applyAlignment="1" applyProtection="1">
      <alignment horizontal="center" wrapText="1"/>
    </xf>
    <xf numFmtId="0" fontId="0" fillId="0" borderId="0" xfId="0" applyNumberFormat="1" applyBorder="1" applyAlignment="1" applyProtection="1">
      <alignment horizontal="center" wrapText="1"/>
    </xf>
    <xf numFmtId="0" fontId="0" fillId="0" borderId="0" xfId="0" applyBorder="1" applyAlignment="1" applyProtection="1">
      <alignment horizontal="center"/>
    </xf>
    <xf numFmtId="0" fontId="6" fillId="0" borderId="0" xfId="0" applyFont="1" applyAlignment="1" applyProtection="1">
      <alignment horizontal="left"/>
    </xf>
    <xf numFmtId="0" fontId="0" fillId="0" borderId="3" xfId="0" applyNumberFormat="1" applyBorder="1" applyAlignment="1" applyProtection="1">
      <alignment vertical="top" wrapText="1"/>
    </xf>
    <xf numFmtId="0" fontId="0" fillId="0" borderId="6" xfId="0" applyBorder="1" applyProtection="1"/>
    <xf numFmtId="0" fontId="3" fillId="0" borderId="7" xfId="0" applyFont="1" applyBorder="1" applyProtection="1"/>
    <xf numFmtId="3" fontId="0" fillId="0" borderId="8" xfId="0" applyNumberFormat="1" applyBorder="1" applyAlignment="1" applyProtection="1">
      <alignment horizontal="center" vertical="center" wrapText="1"/>
    </xf>
    <xf numFmtId="0" fontId="0" fillId="0" borderId="11" xfId="0" applyNumberFormat="1" applyBorder="1" applyAlignment="1" applyProtection="1">
      <alignment horizontal="center" vertical="center" wrapText="1"/>
    </xf>
    <xf numFmtId="3" fontId="0" fillId="0" borderId="0" xfId="0" applyNumberFormat="1" applyBorder="1" applyAlignment="1" applyProtection="1">
      <alignment horizontal="center" vertical="center" wrapText="1"/>
    </xf>
    <xf numFmtId="0" fontId="0" fillId="0" borderId="0" xfId="0" applyNumberFormat="1" applyBorder="1" applyAlignment="1" applyProtection="1">
      <alignment horizontal="center" vertical="center" wrapText="1"/>
    </xf>
    <xf numFmtId="3" fontId="0" fillId="0" borderId="2" xfId="0" applyNumberFormat="1" applyBorder="1" applyAlignment="1" applyProtection="1">
      <alignment horizontal="center" vertical="center" wrapText="1"/>
    </xf>
    <xf numFmtId="0" fontId="0" fillId="0" borderId="36" xfId="0" applyNumberFormat="1" applyBorder="1" applyAlignment="1" applyProtection="1">
      <alignment horizontal="left" vertical="top" wrapText="1"/>
    </xf>
    <xf numFmtId="0" fontId="0" fillId="0" borderId="8" xfId="0" applyBorder="1" applyProtection="1"/>
    <xf numFmtId="0" fontId="0" fillId="0" borderId="10" xfId="0" applyBorder="1" applyProtection="1"/>
    <xf numFmtId="0" fontId="0" fillId="0" borderId="7" xfId="0" applyBorder="1" applyProtection="1"/>
    <xf numFmtId="0" fontId="0" fillId="0" borderId="16" xfId="0" applyBorder="1" applyAlignment="1" applyProtection="1">
      <alignment horizontal="right"/>
    </xf>
    <xf numFmtId="3" fontId="0" fillId="12" borderId="19" xfId="0" applyNumberFormat="1" applyFill="1" applyBorder="1" applyAlignment="1" applyProtection="1">
      <alignment horizontal="center" vertical="center" wrapText="1"/>
    </xf>
    <xf numFmtId="0" fontId="0" fillId="0" borderId="19" xfId="0" applyNumberFormat="1" applyBorder="1" applyAlignment="1" applyProtection="1">
      <alignment vertical="center" wrapText="1"/>
    </xf>
    <xf numFmtId="0" fontId="0" fillId="0" borderId="20" xfId="0" applyNumberFormat="1" applyBorder="1" applyAlignment="1" applyProtection="1">
      <alignment vertical="center" wrapText="1"/>
    </xf>
    <xf numFmtId="0" fontId="0" fillId="0" borderId="21" xfId="0" applyBorder="1" applyProtection="1"/>
    <xf numFmtId="0" fontId="3" fillId="0" borderId="15" xfId="0" applyFont="1" applyBorder="1" applyAlignment="1" applyProtection="1">
      <alignment horizontal="center"/>
    </xf>
    <xf numFmtId="0" fontId="3" fillId="0" borderId="0" xfId="0" applyFont="1" applyAlignment="1" applyProtection="1">
      <alignment horizontal="center"/>
    </xf>
    <xf numFmtId="167" fontId="26" fillId="3" borderId="13" xfId="5" applyNumberFormat="1" applyFont="1" applyFill="1" applyBorder="1" applyAlignment="1" applyProtection="1">
      <alignment horizontal="center" wrapText="1"/>
    </xf>
    <xf numFmtId="0" fontId="0" fillId="0" borderId="13" xfId="0" applyBorder="1" applyAlignment="1" applyProtection="1">
      <alignment horizontal="center"/>
    </xf>
    <xf numFmtId="0" fontId="0" fillId="0" borderId="12" xfId="0" applyBorder="1" applyAlignment="1" applyProtection="1">
      <alignment horizontal="center"/>
    </xf>
    <xf numFmtId="43" fontId="26" fillId="2" borderId="13" xfId="2" applyFont="1" applyFill="1" applyBorder="1" applyAlignment="1" applyProtection="1">
      <alignment horizontal="center" vertical="center" wrapText="1"/>
    </xf>
    <xf numFmtId="0" fontId="0" fillId="0" borderId="9" xfId="0" applyBorder="1" applyProtection="1"/>
    <xf numFmtId="0" fontId="0" fillId="0" borderId="0" xfId="0" applyNumberFormat="1" applyBorder="1" applyAlignment="1" applyProtection="1">
      <alignment horizontal="center" vertical="center" wrapText="1"/>
    </xf>
    <xf numFmtId="0" fontId="0" fillId="0" borderId="10" xfId="0" applyNumberFormat="1" applyBorder="1" applyAlignment="1" applyProtection="1">
      <alignment vertical="center" wrapText="1"/>
    </xf>
    <xf numFmtId="167" fontId="26" fillId="0" borderId="0" xfId="5" applyNumberFormat="1" applyFont="1" applyFill="1" applyBorder="1" applyAlignment="1" applyProtection="1">
      <alignment vertical="center" wrapText="1"/>
    </xf>
    <xf numFmtId="0" fontId="0" fillId="0" borderId="7" xfId="0" applyNumberFormat="1" applyBorder="1" applyAlignment="1" applyProtection="1">
      <alignment vertical="center" wrapText="1"/>
    </xf>
    <xf numFmtId="1" fontId="0" fillId="0" borderId="6" xfId="0" applyNumberFormat="1" applyFill="1" applyBorder="1" applyAlignment="1" applyProtection="1">
      <alignment vertical="center" wrapText="1"/>
    </xf>
    <xf numFmtId="0" fontId="0" fillId="0" borderId="6" xfId="0" applyNumberFormat="1" applyBorder="1" applyAlignment="1" applyProtection="1">
      <alignment vertical="center" wrapText="1"/>
    </xf>
    <xf numFmtId="0" fontId="0" fillId="0" borderId="22" xfId="0" applyNumberFormat="1" applyBorder="1" applyAlignment="1" applyProtection="1">
      <alignment vertical="center" wrapText="1"/>
    </xf>
    <xf numFmtId="0" fontId="0" fillId="0" borderId="0" xfId="0" applyNumberFormat="1" applyBorder="1" applyAlignment="1" applyProtection="1">
      <alignment vertical="top" wrapText="1"/>
    </xf>
    <xf numFmtId="0" fontId="0" fillId="0" borderId="27" xfId="0" applyNumberFormat="1" applyBorder="1" applyAlignment="1" applyProtection="1">
      <alignment horizontal="left" vertical="top" wrapText="1"/>
    </xf>
    <xf numFmtId="9" fontId="0" fillId="2" borderId="13" xfId="0" applyNumberFormat="1" applyFill="1" applyBorder="1" applyAlignment="1" applyProtection="1">
      <alignment horizontal="center" vertical="center" wrapText="1"/>
    </xf>
    <xf numFmtId="0" fontId="0" fillId="0" borderId="8" xfId="0" applyNumberFormat="1" applyBorder="1" applyAlignment="1" applyProtection="1">
      <alignment vertical="center" wrapText="1"/>
    </xf>
    <xf numFmtId="169" fontId="0" fillId="3" borderId="13" xfId="0" applyNumberFormat="1" applyFill="1" applyBorder="1" applyAlignment="1" applyProtection="1">
      <alignment horizontal="center" vertical="center" wrapText="1"/>
    </xf>
    <xf numFmtId="1" fontId="0" fillId="15" borderId="19" xfId="0" applyNumberFormat="1" applyFill="1" applyBorder="1" applyAlignment="1" applyProtection="1">
      <alignment horizontal="center" vertical="center" wrapText="1"/>
    </xf>
    <xf numFmtId="0" fontId="0" fillId="0" borderId="0" xfId="0" applyFill="1" applyProtection="1"/>
    <xf numFmtId="0" fontId="0" fillId="0" borderId="0" xfId="0" applyBorder="1" applyAlignment="1" applyProtection="1">
      <alignment wrapText="1"/>
    </xf>
    <xf numFmtId="9" fontId="1" fillId="3" borderId="13" xfId="11" applyNumberFormat="1" applyFont="1" applyFill="1" applyBorder="1" applyAlignment="1" applyProtection="1">
      <alignment horizontal="center" vertical="center" wrapText="1"/>
    </xf>
    <xf numFmtId="0" fontId="0" fillId="0" borderId="13" xfId="0" applyNumberFormat="1" applyFill="1" applyBorder="1" applyAlignment="1" applyProtection="1">
      <alignment horizontal="center" vertical="center" wrapText="1"/>
    </xf>
    <xf numFmtId="0" fontId="0" fillId="0" borderId="13" xfId="0" applyFill="1" applyBorder="1" applyAlignment="1" applyProtection="1">
      <alignment horizontal="center" vertical="center"/>
    </xf>
    <xf numFmtId="3" fontId="0" fillId="0" borderId="11" xfId="0" applyNumberFormat="1" applyBorder="1" applyAlignment="1" applyProtection="1">
      <alignment horizontal="center" vertical="center" wrapText="1"/>
    </xf>
    <xf numFmtId="0" fontId="0" fillId="0" borderId="25" xfId="0" applyNumberFormat="1" applyBorder="1" applyAlignment="1" applyProtection="1">
      <alignment horizontal="center" vertical="center" wrapText="1"/>
    </xf>
    <xf numFmtId="3" fontId="0" fillId="0" borderId="25" xfId="0" applyNumberFormat="1" applyBorder="1" applyAlignment="1" applyProtection="1">
      <alignment horizontal="center" vertical="center" wrapText="1"/>
    </xf>
    <xf numFmtId="0" fontId="0" fillId="0" borderId="36" xfId="0" applyNumberFormat="1" applyBorder="1" applyAlignment="1" applyProtection="1">
      <alignment horizontal="center" vertical="center" wrapText="1"/>
    </xf>
    <xf numFmtId="3" fontId="0" fillId="0" borderId="6" xfId="0" applyNumberFormat="1" applyBorder="1" applyAlignment="1" applyProtection="1">
      <alignment horizontal="center" vertical="center" wrapText="1"/>
    </xf>
    <xf numFmtId="168" fontId="0" fillId="0" borderId="0" xfId="0" applyNumberFormat="1" applyProtection="1"/>
    <xf numFmtId="0" fontId="0" fillId="0" borderId="17" xfId="0" applyNumberFormat="1" applyBorder="1" applyAlignment="1" applyProtection="1">
      <alignment horizontal="left" vertical="center" wrapText="1"/>
    </xf>
    <xf numFmtId="0" fontId="3" fillId="0" borderId="0" xfId="0" applyNumberFormat="1" applyFont="1" applyBorder="1" applyAlignment="1" applyProtection="1">
      <alignment vertical="center" wrapText="1"/>
    </xf>
    <xf numFmtId="0" fontId="0" fillId="0" borderId="42" xfId="0" applyBorder="1" applyAlignment="1" applyProtection="1">
      <alignment horizontal="center" vertical="center"/>
    </xf>
    <xf numFmtId="0" fontId="3" fillId="0" borderId="0" xfId="0" applyFont="1" applyFill="1" applyBorder="1" applyAlignment="1" applyProtection="1">
      <alignment horizontal="center" vertical="center"/>
    </xf>
    <xf numFmtId="0" fontId="0" fillId="0" borderId="13" xfId="0" applyNumberFormat="1" applyBorder="1" applyAlignment="1" applyProtection="1">
      <alignment horizontal="center" wrapText="1"/>
    </xf>
    <xf numFmtId="0" fontId="0" fillId="0" borderId="0" xfId="0" applyBorder="1" applyAlignment="1" applyProtection="1"/>
    <xf numFmtId="0" fontId="1" fillId="0" borderId="0" xfId="0" applyFont="1" applyBorder="1" applyAlignment="1" applyProtection="1">
      <alignment wrapText="1"/>
    </xf>
    <xf numFmtId="0" fontId="1" fillId="0" borderId="0" xfId="0" applyFont="1" applyAlignment="1" applyProtection="1">
      <alignment wrapText="1"/>
    </xf>
    <xf numFmtId="0" fontId="3" fillId="0" borderId="0" xfId="0" applyFont="1" applyBorder="1" applyProtection="1"/>
    <xf numFmtId="0" fontId="0" fillId="0" borderId="22" xfId="0" applyBorder="1" applyProtection="1"/>
    <xf numFmtId="0" fontId="0" fillId="0" borderId="26" xfId="0" applyNumberFormat="1" applyBorder="1" applyAlignment="1" applyProtection="1">
      <alignment horizontal="left" vertical="top" wrapText="1"/>
    </xf>
    <xf numFmtId="0" fontId="0" fillId="0" borderId="23" xfId="0" applyNumberFormat="1" applyBorder="1" applyAlignment="1" applyProtection="1">
      <alignment horizontal="left" vertical="top" wrapText="1"/>
    </xf>
    <xf numFmtId="0" fontId="0" fillId="0" borderId="0" xfId="0" applyNumberFormat="1" applyBorder="1" applyAlignment="1" applyProtection="1">
      <alignment horizontal="left" wrapText="1"/>
    </xf>
    <xf numFmtId="0" fontId="0" fillId="0" borderId="53" xfId="0" applyFont="1" applyBorder="1" applyAlignment="1" applyProtection="1">
      <alignment horizontal="center"/>
    </xf>
    <xf numFmtId="0" fontId="0" fillId="0" borderId="2" xfId="0" applyNumberFormat="1" applyBorder="1" applyAlignment="1" applyProtection="1">
      <alignment horizontal="left" vertical="center" wrapText="1"/>
    </xf>
    <xf numFmtId="3" fontId="0" fillId="0" borderId="19" xfId="0" applyNumberFormat="1" applyBorder="1" applyAlignment="1" applyProtection="1">
      <alignment horizontal="center" vertical="center" wrapText="1"/>
    </xf>
    <xf numFmtId="173" fontId="0" fillId="3" borderId="13" xfId="0" applyNumberFormat="1" applyFill="1" applyBorder="1" applyAlignment="1" applyProtection="1">
      <alignment horizontal="center" vertical="center" wrapText="1"/>
    </xf>
    <xf numFmtId="171" fontId="0" fillId="3" borderId="13" xfId="0" applyNumberFormat="1" applyFill="1" applyBorder="1" applyAlignment="1" applyProtection="1">
      <alignment horizontal="center" vertical="center" wrapText="1"/>
    </xf>
    <xf numFmtId="165" fontId="0" fillId="3" borderId="13" xfId="0" applyNumberFormat="1" applyFill="1" applyBorder="1" applyAlignment="1" applyProtection="1">
      <alignment horizontal="center" vertical="center" wrapText="1"/>
    </xf>
    <xf numFmtId="9" fontId="0" fillId="0" borderId="0" xfId="0" applyNumberFormat="1" applyProtection="1"/>
    <xf numFmtId="0" fontId="0" fillId="0" borderId="0" xfId="0" applyNumberFormat="1" applyFill="1" applyBorder="1" applyAlignment="1" applyProtection="1">
      <alignment horizontal="left" vertical="top" wrapText="1"/>
    </xf>
    <xf numFmtId="0" fontId="0" fillId="0" borderId="20" xfId="0" applyBorder="1" applyProtection="1"/>
    <xf numFmtId="0" fontId="0" fillId="0" borderId="0" xfId="0" applyNumberFormat="1" applyFill="1" applyBorder="1" applyAlignment="1" applyProtection="1">
      <alignment horizontal="left" wrapText="1"/>
    </xf>
    <xf numFmtId="0" fontId="3" fillId="0" borderId="29" xfId="0" applyNumberFormat="1" applyFont="1" applyBorder="1" applyAlignment="1" applyProtection="1">
      <alignment horizontal="left" vertical="center" wrapText="1" indent="2"/>
    </xf>
    <xf numFmtId="0" fontId="3" fillId="0" borderId="47" xfId="0" applyNumberFormat="1" applyFont="1" applyBorder="1" applyAlignment="1" applyProtection="1">
      <alignment horizontal="left" vertical="center" wrapText="1" indent="2"/>
    </xf>
    <xf numFmtId="176" fontId="34" fillId="7" borderId="12" xfId="0" applyNumberFormat="1" applyFont="1" applyFill="1" applyBorder="1" applyAlignment="1" applyProtection="1">
      <alignment horizontal="center" vertical="center" wrapText="1"/>
      <protection locked="0"/>
    </xf>
    <xf numFmtId="0" fontId="0" fillId="0" borderId="30" xfId="0" applyNumberFormat="1" applyBorder="1" applyAlignment="1" applyProtection="1">
      <alignment horizontal="center" vertical="center" wrapText="1"/>
    </xf>
    <xf numFmtId="4" fontId="0" fillId="3" borderId="30" xfId="0" applyNumberFormat="1" applyFill="1" applyBorder="1" applyAlignment="1" applyProtection="1">
      <alignment horizontal="center" vertical="center" wrapText="1"/>
    </xf>
    <xf numFmtId="0" fontId="25" fillId="0" borderId="5" xfId="0" applyNumberFormat="1" applyFont="1" applyBorder="1" applyAlignment="1" applyProtection="1">
      <alignment horizontal="left" vertical="center" wrapText="1" indent="1"/>
    </xf>
    <xf numFmtId="0" fontId="25" fillId="0" borderId="4" xfId="0" applyNumberFormat="1" applyFont="1" applyBorder="1" applyAlignment="1" applyProtection="1">
      <alignment horizontal="left" vertical="center" wrapText="1" indent="1"/>
    </xf>
    <xf numFmtId="0" fontId="25" fillId="0" borderId="54" xfId="0" applyNumberFormat="1" applyFont="1" applyBorder="1" applyAlignment="1" applyProtection="1">
      <alignment horizontal="left" vertical="center" wrapText="1" indent="1"/>
    </xf>
    <xf numFmtId="0" fontId="0" fillId="7" borderId="13" xfId="0" applyFont="1" applyFill="1" applyBorder="1" applyAlignment="1" applyProtection="1">
      <alignment horizontal="center" vertical="center"/>
      <protection locked="0"/>
    </xf>
    <xf numFmtId="0" fontId="0" fillId="13" borderId="13" xfId="0" applyFont="1" applyFill="1" applyBorder="1" applyAlignment="1">
      <alignment horizontal="center" vertical="center"/>
    </xf>
    <xf numFmtId="0" fontId="0" fillId="0" borderId="39" xfId="0" applyFont="1" applyBorder="1" applyAlignment="1">
      <alignment horizontal="center"/>
    </xf>
    <xf numFmtId="0" fontId="0" fillId="0" borderId="14" xfId="0" applyBorder="1" applyAlignment="1">
      <alignment horizontal="center" vertical="center"/>
    </xf>
    <xf numFmtId="0" fontId="0" fillId="0" borderId="15" xfId="0" applyBorder="1" applyAlignment="1">
      <alignment horizontal="center" vertical="center"/>
    </xf>
    <xf numFmtId="3" fontId="0" fillId="7" borderId="42" xfId="0" applyNumberFormat="1" applyFill="1" applyBorder="1" applyAlignment="1" applyProtection="1">
      <alignment horizontal="center" vertical="center" wrapText="1"/>
      <protection locked="0"/>
    </xf>
    <xf numFmtId="0" fontId="0" fillId="0" borderId="59" xfId="0" applyBorder="1" applyAlignment="1">
      <alignment horizontal="center" vertical="center"/>
    </xf>
    <xf numFmtId="0" fontId="0" fillId="0" borderId="35" xfId="0" applyNumberFormat="1" applyBorder="1" applyAlignment="1">
      <alignment horizontal="right" wrapText="1"/>
    </xf>
    <xf numFmtId="0" fontId="0" fillId="0" borderId="16" xfId="0" applyNumberFormat="1" applyBorder="1" applyAlignment="1">
      <alignment horizontal="right" wrapText="1"/>
    </xf>
    <xf numFmtId="0" fontId="3" fillId="0" borderId="7" xfId="0" applyFont="1" applyBorder="1" applyAlignment="1">
      <alignment vertical="top"/>
    </xf>
    <xf numFmtId="4" fontId="0" fillId="13" borderId="50" xfId="0" applyNumberFormat="1" applyFill="1" applyBorder="1" applyAlignment="1" applyProtection="1">
      <alignment horizontal="center" vertical="center" wrapText="1"/>
    </xf>
    <xf numFmtId="0" fontId="0" fillId="0" borderId="50" xfId="0" applyNumberFormat="1" applyBorder="1" applyAlignment="1" applyProtection="1">
      <alignment horizontal="center" vertical="center" wrapText="1"/>
    </xf>
    <xf numFmtId="0" fontId="0" fillId="0" borderId="50" xfId="0" applyBorder="1" applyAlignment="1" applyProtection="1">
      <alignment horizontal="center" vertical="center"/>
    </xf>
    <xf numFmtId="0" fontId="0" fillId="0" borderId="42" xfId="0" applyNumberFormat="1" applyBorder="1" applyAlignment="1" applyProtection="1">
      <alignment horizontal="center" vertical="center" wrapText="1"/>
    </xf>
    <xf numFmtId="0" fontId="3" fillId="14" borderId="33" xfId="0" applyFont="1" applyFill="1" applyBorder="1" applyAlignment="1" applyProtection="1">
      <alignment horizontal="center"/>
    </xf>
    <xf numFmtId="0" fontId="3" fillId="14" borderId="32" xfId="0" applyFont="1" applyFill="1" applyBorder="1" applyAlignment="1" applyProtection="1">
      <alignment horizontal="center"/>
    </xf>
    <xf numFmtId="0" fontId="3" fillId="14" borderId="33" xfId="0" applyFont="1" applyFill="1" applyBorder="1" applyAlignment="1">
      <alignment horizontal="center"/>
    </xf>
    <xf numFmtId="4" fontId="0" fillId="3" borderId="50" xfId="0" applyNumberFormat="1" applyFill="1" applyBorder="1" applyAlignment="1" applyProtection="1">
      <alignment horizontal="center" vertical="center" wrapText="1"/>
    </xf>
    <xf numFmtId="0" fontId="3" fillId="14" borderId="68" xfId="0" applyFont="1" applyFill="1" applyBorder="1" applyAlignment="1" applyProtection="1">
      <alignment horizontal="center"/>
    </xf>
    <xf numFmtId="0" fontId="3" fillId="14" borderId="17" xfId="0" applyFont="1" applyFill="1" applyBorder="1" applyAlignment="1" applyProtection="1">
      <alignment horizontal="center"/>
    </xf>
    <xf numFmtId="0" fontId="0" fillId="0" borderId="6" xfId="0" applyFill="1" applyBorder="1" applyProtection="1"/>
    <xf numFmtId="0" fontId="0" fillId="0" borderId="6" xfId="0" applyNumberFormat="1" applyFill="1" applyBorder="1" applyAlignment="1" applyProtection="1">
      <alignment wrapText="1"/>
    </xf>
    <xf numFmtId="0" fontId="0" fillId="0" borderId="26" xfId="0" applyNumberFormat="1" applyBorder="1" applyAlignment="1" applyProtection="1">
      <alignment horizontal="center" vertical="center" wrapText="1"/>
    </xf>
    <xf numFmtId="0" fontId="3" fillId="0" borderId="7" xfId="0" applyFont="1" applyBorder="1" applyAlignment="1" applyProtection="1">
      <alignment vertical="top"/>
    </xf>
    <xf numFmtId="0" fontId="0" fillId="0" borderId="0" xfId="0" quotePrefix="1" applyNumberFormat="1" applyBorder="1" applyAlignment="1" applyProtection="1">
      <alignment horizontal="left" wrapText="1"/>
    </xf>
    <xf numFmtId="0" fontId="0" fillId="0" borderId="35" xfId="0" applyNumberFormat="1" applyBorder="1" applyAlignment="1" applyProtection="1">
      <alignment horizontal="right" wrapText="1"/>
    </xf>
    <xf numFmtId="0" fontId="0" fillId="0" borderId="16" xfId="0" applyNumberFormat="1" applyBorder="1" applyAlignment="1" applyProtection="1">
      <alignment horizontal="right" vertical="top" wrapText="1"/>
    </xf>
    <xf numFmtId="0" fontId="0" fillId="0" borderId="70" xfId="0" applyNumberFormat="1" applyBorder="1" applyAlignment="1" applyProtection="1">
      <alignment horizontal="right" wrapText="1"/>
    </xf>
    <xf numFmtId="0" fontId="0" fillId="13" borderId="42" xfId="0" applyFont="1" applyFill="1" applyBorder="1" applyAlignment="1" applyProtection="1">
      <alignment horizontal="center" vertical="center"/>
    </xf>
    <xf numFmtId="0" fontId="3" fillId="0" borderId="5" xfId="0" applyNumberFormat="1" applyFont="1" applyBorder="1" applyAlignment="1" applyProtection="1">
      <alignment horizontal="left" vertical="center" wrapText="1" indent="1"/>
    </xf>
    <xf numFmtId="0" fontId="3" fillId="0" borderId="4" xfId="0" applyNumberFormat="1" applyFont="1" applyBorder="1" applyAlignment="1" applyProtection="1">
      <alignment horizontal="left" vertical="center" wrapText="1" indent="1"/>
    </xf>
    <xf numFmtId="0" fontId="3" fillId="0" borderId="28" xfId="0" applyNumberFormat="1" applyFont="1" applyBorder="1" applyAlignment="1" applyProtection="1">
      <alignment horizontal="left" vertical="center" wrapText="1" indent="1"/>
    </xf>
    <xf numFmtId="0" fontId="0" fillId="0" borderId="16" xfId="0" applyNumberFormat="1" applyBorder="1" applyAlignment="1" applyProtection="1">
      <alignment horizontal="right" wrapText="1"/>
    </xf>
    <xf numFmtId="0" fontId="0" fillId="0" borderId="0" xfId="0" applyBorder="1" applyAlignment="1" applyProtection="1">
      <alignment horizontal="center" vertical="center"/>
    </xf>
    <xf numFmtId="0" fontId="0" fillId="0" borderId="3" xfId="0" applyNumberFormat="1" applyBorder="1" applyAlignment="1" applyProtection="1">
      <alignment horizontal="left" vertical="center" wrapText="1"/>
    </xf>
    <xf numFmtId="0" fontId="0" fillId="0" borderId="25" xfId="0" applyNumberFormat="1" applyBorder="1" applyAlignment="1" applyProtection="1">
      <alignment horizontal="left" vertical="center" wrapText="1"/>
    </xf>
    <xf numFmtId="0" fontId="0" fillId="0" borderId="0" xfId="0" applyBorder="1" applyAlignment="1" applyProtection="1">
      <alignment horizontal="left" wrapText="1"/>
    </xf>
    <xf numFmtId="164" fontId="1" fillId="3" borderId="13" xfId="2" applyNumberFormat="1" applyFont="1" applyFill="1" applyBorder="1" applyAlignment="1" applyProtection="1">
      <alignment vertical="center" wrapText="1"/>
    </xf>
    <xf numFmtId="0" fontId="0" fillId="0" borderId="11" xfId="0" applyNumberFormat="1" applyBorder="1" applyAlignment="1" applyProtection="1">
      <alignment horizontal="left" vertical="center" wrapText="1"/>
    </xf>
    <xf numFmtId="3" fontId="0" fillId="0" borderId="20" xfId="0" applyNumberFormat="1" applyBorder="1" applyAlignment="1" applyProtection="1">
      <alignment horizontal="left" vertical="center" wrapText="1"/>
    </xf>
    <xf numFmtId="0" fontId="0" fillId="0" borderId="7" xfId="0" applyNumberFormat="1" applyBorder="1" applyAlignment="1" applyProtection="1">
      <alignment wrapText="1"/>
    </xf>
    <xf numFmtId="0" fontId="0" fillId="0" borderId="35" xfId="0" applyBorder="1" applyProtection="1"/>
    <xf numFmtId="165" fontId="0" fillId="3" borderId="50" xfId="0" applyNumberFormat="1" applyFill="1" applyBorder="1" applyAlignment="1" applyProtection="1">
      <alignment horizontal="center" wrapText="1"/>
    </xf>
    <xf numFmtId="0" fontId="0" fillId="0" borderId="50" xfId="0" applyNumberFormat="1" applyBorder="1" applyAlignment="1" applyProtection="1">
      <alignment horizontal="center" wrapText="1"/>
    </xf>
    <xf numFmtId="0" fontId="0" fillId="0" borderId="50" xfId="0" applyBorder="1" applyAlignment="1" applyProtection="1">
      <alignment horizontal="center"/>
    </xf>
    <xf numFmtId="3" fontId="0" fillId="3" borderId="50" xfId="0" applyNumberFormat="1" applyFill="1" applyBorder="1" applyAlignment="1" applyProtection="1">
      <alignment horizontal="center" vertical="center" wrapText="1"/>
    </xf>
    <xf numFmtId="0" fontId="0" fillId="0" borderId="19" xfId="0" applyNumberFormat="1" applyBorder="1" applyAlignment="1" applyProtection="1">
      <alignment horizontal="left" vertical="center" wrapText="1"/>
    </xf>
    <xf numFmtId="0" fontId="3" fillId="0" borderId="61" xfId="0" applyFont="1" applyBorder="1" applyAlignment="1" applyProtection="1">
      <alignment horizontal="center" vertical="center"/>
    </xf>
    <xf numFmtId="0" fontId="3" fillId="0" borderId="35" xfId="0" applyFont="1" applyBorder="1" applyProtection="1"/>
    <xf numFmtId="0" fontId="0" fillId="0" borderId="62" xfId="0" applyBorder="1" applyProtection="1"/>
    <xf numFmtId="0" fontId="0" fillId="0" borderId="13" xfId="0" applyBorder="1" applyAlignment="1" applyProtection="1">
      <alignment vertical="center"/>
    </xf>
    <xf numFmtId="0" fontId="3" fillId="14" borderId="39" xfId="0" applyFont="1" applyFill="1" applyBorder="1" applyAlignment="1" applyProtection="1">
      <alignment horizontal="center"/>
    </xf>
    <xf numFmtId="175" fontId="0" fillId="0" borderId="0" xfId="0" applyNumberFormat="1" applyFill="1" applyBorder="1" applyAlignment="1" applyProtection="1">
      <alignment horizontal="center" vertical="center" wrapText="1"/>
    </xf>
    <xf numFmtId="0" fontId="0" fillId="7" borderId="44" xfId="0" applyFont="1" applyFill="1" applyBorder="1" applyAlignment="1" applyProtection="1">
      <alignment horizontal="center" vertical="center"/>
      <protection locked="0"/>
    </xf>
    <xf numFmtId="0" fontId="0" fillId="7" borderId="42" xfId="0" applyFill="1" applyBorder="1" applyAlignment="1" applyProtection="1">
      <alignment horizontal="center" vertical="center"/>
      <protection locked="0"/>
    </xf>
    <xf numFmtId="169" fontId="1" fillId="7" borderId="50" xfId="11" applyNumberFormat="1" applyFont="1" applyFill="1" applyBorder="1" applyAlignment="1" applyProtection="1">
      <alignment horizontal="center" vertical="center" wrapText="1"/>
      <protection locked="0"/>
    </xf>
    <xf numFmtId="0" fontId="0" fillId="0" borderId="0" xfId="0" applyBorder="1" applyProtection="1"/>
    <xf numFmtId="0" fontId="0" fillId="7" borderId="13" xfId="0" applyFill="1" applyBorder="1" applyAlignment="1" applyProtection="1">
      <alignment horizontal="center" vertical="center"/>
      <protection locked="0"/>
    </xf>
    <xf numFmtId="0" fontId="0" fillId="0" borderId="0" xfId="0" applyNumberFormat="1" applyBorder="1" applyAlignment="1" applyProtection="1">
      <alignment horizontal="center" vertical="center" wrapText="1"/>
    </xf>
    <xf numFmtId="0" fontId="0" fillId="0" borderId="37" xfId="0" applyNumberFormat="1" applyBorder="1" applyAlignment="1" applyProtection="1">
      <alignment horizontal="center" vertical="center" wrapText="1"/>
    </xf>
    <xf numFmtId="0" fontId="0" fillId="0" borderId="19" xfId="0" applyNumberFormat="1" applyBorder="1" applyAlignment="1" applyProtection="1">
      <alignment horizontal="center" vertical="center" wrapText="1"/>
    </xf>
    <xf numFmtId="0" fontId="0" fillId="0" borderId="0" xfId="0" applyBorder="1" applyProtection="1"/>
    <xf numFmtId="9" fontId="1" fillId="11" borderId="30" xfId="11" applyFont="1" applyFill="1" applyBorder="1" applyAlignment="1" applyProtection="1">
      <alignment horizontal="center" vertical="center" wrapText="1"/>
    </xf>
    <xf numFmtId="9" fontId="1" fillId="11" borderId="25" xfId="11" applyFont="1" applyFill="1" applyBorder="1" applyAlignment="1" applyProtection="1">
      <alignment horizontal="center" vertical="center" wrapText="1"/>
    </xf>
    <xf numFmtId="9" fontId="1" fillId="11" borderId="50" xfId="11" applyFont="1" applyFill="1" applyBorder="1" applyAlignment="1" applyProtection="1">
      <alignment horizontal="center" vertical="center" wrapText="1"/>
    </xf>
    <xf numFmtId="169" fontId="1" fillId="11" borderId="50" xfId="11" applyNumberFormat="1" applyFont="1" applyFill="1" applyBorder="1" applyAlignment="1" applyProtection="1">
      <alignment horizontal="center" vertical="center" wrapText="1"/>
    </xf>
    <xf numFmtId="9" fontId="1" fillId="11" borderId="36" xfId="11" applyFont="1" applyFill="1" applyBorder="1" applyAlignment="1" applyProtection="1">
      <alignment horizontal="center" vertical="center" wrapText="1"/>
    </xf>
    <xf numFmtId="9" fontId="3" fillId="11" borderId="72" xfId="11" applyFont="1" applyFill="1" applyBorder="1" applyAlignment="1" applyProtection="1">
      <alignment horizontal="center" vertical="center" wrapText="1"/>
    </xf>
    <xf numFmtId="9" fontId="3" fillId="11" borderId="73" xfId="11" applyFont="1" applyFill="1" applyBorder="1" applyAlignment="1" applyProtection="1">
      <alignment horizontal="center" vertical="center" wrapText="1"/>
    </xf>
    <xf numFmtId="9" fontId="3" fillId="11" borderId="66" xfId="11" applyFont="1" applyFill="1" applyBorder="1" applyAlignment="1" applyProtection="1">
      <alignment horizontal="center" vertical="center" wrapText="1"/>
    </xf>
    <xf numFmtId="0" fontId="0" fillId="0" borderId="0" xfId="0" applyFill="1" applyBorder="1" applyProtection="1"/>
    <xf numFmtId="0" fontId="0" fillId="0" borderId="0" xfId="0" applyNumberFormat="1" applyFill="1" applyBorder="1" applyAlignment="1" applyProtection="1">
      <alignment wrapText="1"/>
    </xf>
    <xf numFmtId="0" fontId="0" fillId="0" borderId="0" xfId="0" applyFill="1" applyBorder="1" applyAlignment="1">
      <alignment wrapText="1"/>
    </xf>
    <xf numFmtId="0" fontId="7" fillId="0" borderId="0" xfId="0" applyNumberFormat="1" applyFont="1" applyFill="1" applyBorder="1" applyAlignment="1" applyProtection="1">
      <alignment horizontal="left" wrapText="1"/>
    </xf>
    <xf numFmtId="0" fontId="1" fillId="0" borderId="0" xfId="0" applyFont="1" applyFill="1" applyBorder="1" applyAlignment="1" applyProtection="1">
      <alignment wrapText="1"/>
    </xf>
    <xf numFmtId="0" fontId="0" fillId="0" borderId="0" xfId="0" applyFill="1" applyBorder="1" applyAlignment="1" applyProtection="1">
      <alignment horizontal="left" vertical="top" wrapText="1"/>
    </xf>
    <xf numFmtId="0" fontId="0" fillId="0" borderId="8" xfId="0" applyNumberFormat="1" applyBorder="1" applyAlignment="1" applyProtection="1">
      <alignment horizontal="left" wrapText="1"/>
    </xf>
    <xf numFmtId="0" fontId="3" fillId="14" borderId="68" xfId="0" applyFont="1" applyFill="1" applyBorder="1" applyAlignment="1" applyProtection="1">
      <alignment horizontal="center" wrapText="1"/>
    </xf>
    <xf numFmtId="0" fontId="28" fillId="0" borderId="0" xfId="0" applyFont="1" applyProtection="1"/>
    <xf numFmtId="10" fontId="44" fillId="0" borderId="3" xfId="11" applyNumberFormat="1" applyFont="1" applyBorder="1" applyAlignment="1" applyProtection="1">
      <alignment horizontal="center" vertical="center" wrapText="1"/>
    </xf>
    <xf numFmtId="10" fontId="44" fillId="0" borderId="13" xfId="11" applyNumberFormat="1" applyFont="1" applyBorder="1" applyAlignment="1" applyProtection="1">
      <alignment horizontal="center" vertical="center" wrapText="1"/>
    </xf>
    <xf numFmtId="10" fontId="44" fillId="0" borderId="23" xfId="11" applyNumberFormat="1" applyFont="1" applyBorder="1" applyAlignment="1" applyProtection="1">
      <alignment horizontal="center" vertical="center" wrapText="1"/>
    </xf>
    <xf numFmtId="10" fontId="44" fillId="0" borderId="42" xfId="11" applyNumberFormat="1" applyFont="1" applyBorder="1" applyAlignment="1" applyProtection="1">
      <alignment horizontal="center" vertical="center" wrapText="1"/>
    </xf>
    <xf numFmtId="10" fontId="44" fillId="0" borderId="50" xfId="11" applyNumberFormat="1" applyFont="1" applyBorder="1" applyAlignment="1" applyProtection="1">
      <alignment horizontal="center" vertical="center" wrapText="1"/>
    </xf>
    <xf numFmtId="10" fontId="44" fillId="0" borderId="36" xfId="11" applyNumberFormat="1" applyFont="1" applyBorder="1" applyAlignment="1" applyProtection="1">
      <alignment horizontal="center" vertical="center" wrapText="1"/>
    </xf>
    <xf numFmtId="0" fontId="0" fillId="0" borderId="20" xfId="0" applyNumberFormat="1" applyBorder="1" applyAlignment="1" applyProtection="1">
      <alignment horizontal="left" vertical="center" wrapText="1"/>
    </xf>
    <xf numFmtId="0" fontId="28" fillId="0" borderId="0" xfId="0" applyNumberFormat="1" applyFont="1" applyBorder="1" applyAlignment="1" applyProtection="1">
      <alignment horizontal="left" vertical="center" wrapText="1"/>
    </xf>
    <xf numFmtId="0" fontId="0" fillId="0" borderId="43" xfId="0" applyFont="1" applyBorder="1" applyAlignment="1" applyProtection="1">
      <alignment horizontal="center"/>
    </xf>
    <xf numFmtId="0" fontId="3" fillId="0" borderId="54" xfId="0" applyNumberFormat="1" applyFont="1" applyBorder="1" applyAlignment="1" applyProtection="1">
      <alignment horizontal="left" vertical="center" wrapText="1" indent="2"/>
    </xf>
    <xf numFmtId="10" fontId="44" fillId="0" borderId="6" xfId="11" applyNumberFormat="1" applyFont="1" applyBorder="1" applyAlignment="1" applyProtection="1">
      <alignment horizontal="center" vertical="center" wrapText="1"/>
    </xf>
    <xf numFmtId="10" fontId="0" fillId="7" borderId="32" xfId="9" applyNumberFormat="1" applyFont="1" applyFill="1" applyBorder="1" applyAlignment="1" applyProtection="1">
      <alignment horizontal="center" vertical="center" wrapText="1"/>
      <protection locked="0"/>
    </xf>
    <xf numFmtId="0" fontId="0" fillId="7" borderId="42" xfId="0" applyFill="1" applyBorder="1" applyAlignment="1" applyProtection="1">
      <alignment horizontal="center" vertical="center" wrapText="1"/>
    </xf>
    <xf numFmtId="0" fontId="0" fillId="0" borderId="61" xfId="0" applyBorder="1" applyProtection="1"/>
    <xf numFmtId="3" fontId="0" fillId="7" borderId="13" xfId="0" applyNumberFormat="1" applyFill="1" applyBorder="1" applyAlignment="1" applyProtection="1">
      <alignment horizontal="center" wrapText="1"/>
      <protection locked="0"/>
    </xf>
    <xf numFmtId="0" fontId="0" fillId="0" borderId="11" xfId="0" applyNumberFormat="1" applyBorder="1" applyAlignment="1">
      <alignment horizontal="center" vertical="center" wrapText="1"/>
    </xf>
    <xf numFmtId="0" fontId="0" fillId="0" borderId="25" xfId="0" applyNumberFormat="1" applyBorder="1" applyAlignment="1">
      <alignment horizontal="center" vertical="center" wrapText="1"/>
    </xf>
    <xf numFmtId="0" fontId="0" fillId="0" borderId="0" xfId="0" applyBorder="1"/>
    <xf numFmtId="0" fontId="0" fillId="0" borderId="0" xfId="0" applyBorder="1" applyAlignment="1">
      <alignment wrapText="1"/>
    </xf>
    <xf numFmtId="0" fontId="0" fillId="0" borderId="0" xfId="0" applyBorder="1" applyAlignment="1"/>
    <xf numFmtId="1" fontId="0" fillId="0" borderId="8" xfId="0" applyNumberFormat="1" applyFill="1" applyBorder="1" applyAlignment="1">
      <alignment horizontal="center" vertical="center" wrapText="1"/>
    </xf>
    <xf numFmtId="0" fontId="0" fillId="0" borderId="2" xfId="0" applyNumberFormat="1" applyBorder="1" applyAlignment="1">
      <alignment horizontal="center" vertical="center" wrapText="1"/>
    </xf>
    <xf numFmtId="0" fontId="0" fillId="0" borderId="22" xfId="0" applyNumberFormat="1" applyBorder="1" applyAlignment="1" applyProtection="1">
      <alignment horizontal="center" vertical="center" wrapText="1"/>
    </xf>
    <xf numFmtId="0" fontId="0" fillId="0" borderId="74" xfId="0" applyNumberFormat="1" applyBorder="1" applyAlignment="1" applyProtection="1">
      <alignment horizontal="center" vertical="center" wrapText="1"/>
    </xf>
    <xf numFmtId="0" fontId="0" fillId="0" borderId="42" xfId="0" applyBorder="1" applyAlignment="1">
      <alignment horizontal="center" vertical="center" wrapText="1"/>
    </xf>
    <xf numFmtId="0" fontId="0" fillId="0" borderId="13" xfId="0" applyBorder="1" applyAlignment="1">
      <alignment horizontal="center" vertical="center" wrapText="1"/>
    </xf>
    <xf numFmtId="0" fontId="36" fillId="0" borderId="8" xfId="0" applyFont="1" applyBorder="1" applyAlignment="1">
      <alignment wrapText="1"/>
    </xf>
    <xf numFmtId="4" fontId="36" fillId="0" borderId="8" xfId="0" applyNumberFormat="1" applyFont="1" applyBorder="1" applyAlignment="1">
      <alignment wrapText="1"/>
    </xf>
    <xf numFmtId="0" fontId="0" fillId="0" borderId="0" xfId="0" applyNumberFormat="1" applyFill="1" applyBorder="1" applyAlignment="1">
      <alignment vertical="top" wrapText="1"/>
    </xf>
    <xf numFmtId="0" fontId="0" fillId="0" borderId="6" xfId="0" applyNumberFormat="1" applyFill="1" applyBorder="1" applyAlignment="1">
      <alignment horizontal="left" wrapText="1"/>
    </xf>
    <xf numFmtId="0" fontId="0" fillId="0" borderId="22" xfId="0" applyNumberFormat="1" applyFill="1" applyBorder="1" applyAlignment="1">
      <alignment horizontal="left" wrapText="1"/>
    </xf>
    <xf numFmtId="0" fontId="0" fillId="0" borderId="11" xfId="0" applyFill="1" applyBorder="1"/>
    <xf numFmtId="0" fontId="0" fillId="0" borderId="11" xfId="0" applyNumberFormat="1" applyFill="1" applyBorder="1" applyAlignment="1">
      <alignment horizontal="left" wrapText="1"/>
    </xf>
    <xf numFmtId="0" fontId="0" fillId="0" borderId="27" xfId="0" applyNumberFormat="1" applyFill="1" applyBorder="1" applyAlignment="1">
      <alignment horizontal="left" wrapText="1"/>
    </xf>
    <xf numFmtId="3" fontId="0" fillId="0" borderId="0" xfId="0" applyNumberFormat="1" applyFill="1" applyBorder="1" applyAlignment="1">
      <alignment horizontal="center" vertical="center" wrapText="1"/>
    </xf>
    <xf numFmtId="3" fontId="0" fillId="0" borderId="11" xfId="0" applyNumberFormat="1" applyBorder="1" applyAlignment="1">
      <alignment horizontal="center" vertical="center" wrapText="1"/>
    </xf>
    <xf numFmtId="0" fontId="27" fillId="0" borderId="35" xfId="7" applyBorder="1" applyAlignment="1" applyProtection="1"/>
    <xf numFmtId="4" fontId="0" fillId="3" borderId="59" xfId="0" applyNumberFormat="1" applyFill="1" applyBorder="1" applyAlignment="1" applyProtection="1">
      <alignment horizontal="center" wrapText="1"/>
      <protection locked="0"/>
    </xf>
    <xf numFmtId="4" fontId="0" fillId="3" borderId="14" xfId="0" applyNumberFormat="1" applyFill="1" applyBorder="1" applyAlignment="1" applyProtection="1">
      <alignment horizontal="center" vertical="center" wrapText="1"/>
      <protection locked="0"/>
    </xf>
    <xf numFmtId="0" fontId="0" fillId="0" borderId="14" xfId="0" applyBorder="1" applyAlignment="1">
      <alignment horizontal="center" vertical="center" wrapText="1"/>
    </xf>
    <xf numFmtId="3" fontId="0" fillId="0" borderId="2" xfId="0" applyNumberFormat="1" applyFill="1" applyBorder="1" applyAlignment="1">
      <alignment horizontal="center" vertical="center" wrapText="1"/>
    </xf>
    <xf numFmtId="0" fontId="0" fillId="0" borderId="2" xfId="0" applyFill="1" applyBorder="1"/>
    <xf numFmtId="0" fontId="0" fillId="0" borderId="2" xfId="0" applyNumberFormat="1" applyFill="1" applyBorder="1" applyAlignment="1">
      <alignment horizontal="left" wrapText="1"/>
    </xf>
    <xf numFmtId="0" fontId="0" fillId="0" borderId="23" xfId="0" applyNumberFormat="1" applyFill="1" applyBorder="1" applyAlignment="1">
      <alignment horizontal="left" wrapText="1"/>
    </xf>
    <xf numFmtId="0" fontId="0" fillId="0" borderId="19" xfId="0" applyBorder="1"/>
    <xf numFmtId="0" fontId="0" fillId="0" borderId="30" xfId="0" applyNumberFormat="1" applyBorder="1" applyAlignment="1">
      <alignment horizontal="center" wrapText="1"/>
    </xf>
    <xf numFmtId="0" fontId="0" fillId="0" borderId="50" xfId="0" applyBorder="1" applyAlignment="1">
      <alignment horizontal="center"/>
    </xf>
    <xf numFmtId="0" fontId="0" fillId="0" borderId="35" xfId="0" applyNumberFormat="1" applyBorder="1" applyAlignment="1">
      <alignment wrapText="1"/>
    </xf>
    <xf numFmtId="166" fontId="10" fillId="13" borderId="16" xfId="8" applyNumberFormat="1" applyFont="1" applyFill="1" applyBorder="1" applyAlignment="1">
      <alignment horizontal="center" vertical="center" wrapText="1"/>
    </xf>
    <xf numFmtId="0" fontId="0" fillId="13" borderId="23" xfId="0" applyFill="1" applyBorder="1" applyAlignment="1">
      <alignment vertical="center" wrapText="1"/>
    </xf>
    <xf numFmtId="0" fontId="0" fillId="0" borderId="11" xfId="0" applyBorder="1"/>
    <xf numFmtId="169" fontId="26" fillId="0" borderId="0" xfId="9" applyNumberFormat="1" applyFont="1" applyBorder="1"/>
    <xf numFmtId="0" fontId="0" fillId="0" borderId="64" xfId="0" applyBorder="1" applyAlignment="1">
      <alignment horizontal="center"/>
    </xf>
    <xf numFmtId="169" fontId="26" fillId="0" borderId="76" xfId="9" applyNumberFormat="1" applyFont="1" applyBorder="1"/>
    <xf numFmtId="0" fontId="28" fillId="0" borderId="62" xfId="0" applyFont="1" applyBorder="1" applyAlignment="1">
      <alignment horizontal="right"/>
    </xf>
    <xf numFmtId="0" fontId="28" fillId="0" borderId="44" xfId="0" applyFont="1" applyBorder="1" applyAlignment="1">
      <alignment horizontal="right"/>
    </xf>
    <xf numFmtId="0" fontId="0" fillId="13" borderId="62" xfId="0" applyFill="1" applyBorder="1" applyAlignment="1">
      <alignment horizontal="right"/>
    </xf>
    <xf numFmtId="169" fontId="26" fillId="0" borderId="6" xfId="9" applyNumberFormat="1" applyFont="1" applyBorder="1"/>
    <xf numFmtId="169" fontId="26" fillId="0" borderId="77" xfId="9" applyNumberFormat="1" applyFont="1" applyBorder="1"/>
    <xf numFmtId="169" fontId="28" fillId="0" borderId="6" xfId="0" quotePrefix="1" applyNumberFormat="1" applyFont="1" applyBorder="1" applyAlignment="1">
      <alignment horizontal="right"/>
    </xf>
    <xf numFmtId="169" fontId="28" fillId="0" borderId="34" xfId="0" applyNumberFormat="1" applyFont="1" applyBorder="1" applyAlignment="1">
      <alignment horizontal="right"/>
    </xf>
    <xf numFmtId="164" fontId="0" fillId="0" borderId="12" xfId="0" applyNumberFormat="1" applyFill="1" applyBorder="1"/>
    <xf numFmtId="164" fontId="0" fillId="0" borderId="44" xfId="0" applyNumberFormat="1" applyFill="1" applyBorder="1"/>
    <xf numFmtId="0" fontId="28" fillId="0" borderId="49" xfId="0" applyFont="1" applyBorder="1" applyAlignment="1">
      <alignment horizontal="right"/>
    </xf>
    <xf numFmtId="164" fontId="28" fillId="0" borderId="44" xfId="0" applyNumberFormat="1" applyFont="1" applyFill="1" applyBorder="1" applyAlignment="1">
      <alignment horizontal="right"/>
    </xf>
    <xf numFmtId="169" fontId="28" fillId="0" borderId="77" xfId="0" quotePrefix="1" applyNumberFormat="1" applyFont="1" applyBorder="1" applyAlignment="1">
      <alignment horizontal="right"/>
    </xf>
    <xf numFmtId="0" fontId="0" fillId="13" borderId="49" xfId="0" applyFill="1" applyBorder="1" applyAlignment="1">
      <alignment horizontal="right"/>
    </xf>
    <xf numFmtId="164" fontId="0" fillId="0" borderId="44" xfId="0" applyNumberFormat="1" applyFill="1" applyBorder="1" applyAlignment="1">
      <alignment horizontal="right"/>
    </xf>
    <xf numFmtId="169" fontId="26" fillId="0" borderId="22" xfId="9" applyNumberFormat="1" applyFont="1" applyBorder="1"/>
    <xf numFmtId="0" fontId="0" fillId="0" borderId="0" xfId="0" applyBorder="1"/>
    <xf numFmtId="0" fontId="0" fillId="0" borderId="0" xfId="0" applyNumberFormat="1" applyBorder="1" applyAlignment="1" applyProtection="1">
      <alignment horizontal="center" vertical="center" wrapText="1"/>
    </xf>
    <xf numFmtId="0" fontId="4" fillId="0" borderId="0" xfId="0" applyNumberFormat="1" applyFont="1" applyAlignment="1" applyProtection="1">
      <alignment horizontal="left" vertical="center" wrapText="1"/>
    </xf>
    <xf numFmtId="0" fontId="0" fillId="0" borderId="0" xfId="0" applyBorder="1" applyProtection="1"/>
    <xf numFmtId="0" fontId="0" fillId="0" borderId="0" xfId="0" applyBorder="1" applyAlignment="1" applyProtection="1">
      <alignment wrapText="1"/>
    </xf>
    <xf numFmtId="9" fontId="26" fillId="3" borderId="13" xfId="11" applyFont="1" applyFill="1" applyBorder="1" applyAlignment="1" applyProtection="1">
      <alignment horizontal="center" wrapText="1"/>
    </xf>
    <xf numFmtId="0" fontId="0" fillId="0" borderId="0" xfId="0" applyNumberFormat="1" applyBorder="1" applyAlignment="1">
      <alignment vertical="top" wrapText="1"/>
    </xf>
    <xf numFmtId="164" fontId="15" fillId="13" borderId="13" xfId="1" applyNumberFormat="1" applyFont="1" applyFill="1" applyBorder="1" applyAlignment="1">
      <alignment vertical="center" wrapText="1"/>
    </xf>
    <xf numFmtId="3" fontId="0" fillId="0" borderId="0" xfId="0" applyNumberFormat="1" applyBorder="1" applyAlignment="1" applyProtection="1">
      <alignment horizontal="left" vertical="center" wrapText="1"/>
    </xf>
    <xf numFmtId="4" fontId="0" fillId="3" borderId="30" xfId="0" applyNumberFormat="1" applyFill="1" applyBorder="1" applyAlignment="1" applyProtection="1">
      <alignment horizontal="center" wrapText="1"/>
      <protection locked="0"/>
    </xf>
    <xf numFmtId="4" fontId="0" fillId="3" borderId="13" xfId="0" applyNumberFormat="1" applyFill="1" applyBorder="1" applyAlignment="1" applyProtection="1">
      <alignment horizontal="center" wrapText="1"/>
    </xf>
    <xf numFmtId="0" fontId="0" fillId="0" borderId="20" xfId="0" applyNumberFormat="1" applyBorder="1" applyAlignment="1" applyProtection="1">
      <alignment horizontal="left" vertical="top" wrapText="1"/>
    </xf>
    <xf numFmtId="164" fontId="15" fillId="13" borderId="50" xfId="1" applyNumberFormat="1" applyFont="1" applyFill="1" applyBorder="1" applyAlignment="1">
      <alignment vertical="center" wrapText="1"/>
    </xf>
    <xf numFmtId="169" fontId="26" fillId="13" borderId="13" xfId="9" applyNumberFormat="1" applyFont="1" applyFill="1" applyBorder="1" applyAlignment="1">
      <alignment vertical="center"/>
    </xf>
    <xf numFmtId="169" fontId="26" fillId="13" borderId="14" xfId="9" applyNumberFormat="1" applyFont="1" applyFill="1" applyBorder="1" applyAlignment="1">
      <alignment vertical="center"/>
    </xf>
    <xf numFmtId="169" fontId="26" fillId="13" borderId="2" xfId="9" applyNumberFormat="1" applyFont="1" applyFill="1" applyBorder="1" applyAlignment="1">
      <alignment vertical="center"/>
    </xf>
    <xf numFmtId="169" fontId="26" fillId="13" borderId="0" xfId="9" applyNumberFormat="1" applyFont="1" applyFill="1" applyBorder="1" applyAlignment="1">
      <alignment vertical="center"/>
    </xf>
    <xf numFmtId="169" fontId="26" fillId="13" borderId="6" xfId="9" applyNumberFormat="1" applyFont="1" applyFill="1" applyBorder="1" applyAlignment="1">
      <alignment horizontal="right" vertical="center"/>
    </xf>
    <xf numFmtId="169" fontId="26" fillId="13" borderId="30" xfId="9" applyNumberFormat="1" applyFont="1" applyFill="1" applyBorder="1" applyAlignment="1">
      <alignment vertical="center"/>
    </xf>
    <xf numFmtId="169" fontId="28" fillId="0" borderId="0" xfId="0" applyNumberFormat="1" applyFont="1"/>
    <xf numFmtId="0" fontId="38" fillId="0" borderId="0" xfId="0" applyFont="1"/>
    <xf numFmtId="164" fontId="40" fillId="13" borderId="13" xfId="0" applyNumberFormat="1" applyFont="1" applyFill="1" applyBorder="1"/>
    <xf numFmtId="169" fontId="38" fillId="12" borderId="13" xfId="0" applyNumberFormat="1" applyFont="1" applyFill="1" applyBorder="1"/>
    <xf numFmtId="164" fontId="38" fillId="13" borderId="42" xfId="0" applyNumberFormat="1" applyFont="1" applyFill="1" applyBorder="1"/>
    <xf numFmtId="164" fontId="38" fillId="12" borderId="42" xfId="0" applyNumberFormat="1" applyFont="1" applyFill="1" applyBorder="1"/>
    <xf numFmtId="164" fontId="1" fillId="12" borderId="60" xfId="1" applyNumberFormat="1" applyFont="1" applyFill="1" applyBorder="1" applyAlignment="1">
      <alignment horizontal="right" vertical="center" wrapText="1"/>
    </xf>
    <xf numFmtId="0" fontId="28" fillId="15" borderId="15" xfId="0" applyFont="1" applyFill="1" applyBorder="1" applyAlignment="1">
      <alignment horizontal="center"/>
    </xf>
    <xf numFmtId="0" fontId="28" fillId="14" borderId="57" xfId="0" applyFont="1" applyFill="1" applyBorder="1"/>
    <xf numFmtId="0" fontId="0" fillId="20" borderId="17" xfId="0" applyFill="1" applyBorder="1" applyAlignment="1">
      <alignment horizontal="center"/>
    </xf>
    <xf numFmtId="0" fontId="0" fillId="0" borderId="40" xfId="0" applyBorder="1" applyAlignment="1">
      <alignment vertical="top" wrapText="1"/>
    </xf>
    <xf numFmtId="0" fontId="28" fillId="15" borderId="17" xfId="0" applyFont="1" applyFill="1" applyBorder="1" applyAlignment="1">
      <alignment horizontal="center"/>
    </xf>
    <xf numFmtId="0" fontId="28" fillId="14" borderId="40" xfId="0" applyFont="1" applyFill="1" applyBorder="1"/>
    <xf numFmtId="0" fontId="28" fillId="20" borderId="17" xfId="0" applyFont="1" applyFill="1" applyBorder="1" applyAlignment="1">
      <alignment horizontal="center"/>
    </xf>
    <xf numFmtId="0" fontId="0" fillId="0" borderId="40" xfId="0" applyFill="1" applyBorder="1" applyAlignment="1">
      <alignment vertical="top" wrapText="1"/>
    </xf>
    <xf numFmtId="0" fontId="0" fillId="20" borderId="59" xfId="0" applyFill="1" applyBorder="1" applyAlignment="1">
      <alignment horizontal="center"/>
    </xf>
    <xf numFmtId="0" fontId="0" fillId="0" borderId="24" xfId="0" applyFill="1" applyBorder="1" applyAlignment="1">
      <alignment vertical="top" wrapText="1"/>
    </xf>
    <xf numFmtId="0" fontId="38" fillId="0" borderId="13" xfId="0" applyFont="1" applyBorder="1"/>
    <xf numFmtId="0" fontId="38" fillId="0" borderId="13" xfId="0" applyFont="1" applyFill="1" applyBorder="1" applyAlignment="1">
      <alignment horizontal="center"/>
    </xf>
    <xf numFmtId="166" fontId="10" fillId="6" borderId="17" xfId="8" applyNumberFormat="1" applyFont="1" applyFill="1" applyBorder="1" applyAlignment="1">
      <alignment horizontal="left" vertical="center" wrapText="1"/>
    </xf>
    <xf numFmtId="166" fontId="10" fillId="6" borderId="0" xfId="8" applyNumberFormat="1" applyFont="1" applyFill="1" applyBorder="1" applyAlignment="1">
      <alignment horizontal="left" vertical="center" wrapText="1"/>
    </xf>
    <xf numFmtId="166" fontId="10" fillId="6" borderId="40" xfId="8" applyNumberFormat="1" applyFont="1" applyFill="1" applyBorder="1" applyAlignment="1">
      <alignment horizontal="left" vertical="center" wrapText="1"/>
    </xf>
    <xf numFmtId="166" fontId="10" fillId="6" borderId="14" xfId="8" applyNumberFormat="1" applyFont="1" applyFill="1" applyBorder="1" applyAlignment="1">
      <alignment horizontal="left" vertical="center" wrapText="1"/>
    </xf>
    <xf numFmtId="166" fontId="10" fillId="6" borderId="2" xfId="8" applyNumberFormat="1" applyFont="1" applyFill="1" applyBorder="1" applyAlignment="1">
      <alignment horizontal="left" vertical="center" wrapText="1"/>
    </xf>
    <xf numFmtId="166" fontId="10" fillId="6" borderId="1" xfId="8" applyNumberFormat="1" applyFont="1" applyFill="1" applyBorder="1" applyAlignment="1">
      <alignment horizontal="left" vertical="center" wrapText="1"/>
    </xf>
    <xf numFmtId="166" fontId="10" fillId="13" borderId="58" xfId="8" applyNumberFormat="1" applyFont="1" applyFill="1" applyBorder="1" applyAlignment="1">
      <alignment horizontal="left" wrapText="1"/>
    </xf>
    <xf numFmtId="166" fontId="10" fillId="13" borderId="6" xfId="8" applyNumberFormat="1" applyFont="1" applyFill="1" applyBorder="1" applyAlignment="1">
      <alignment horizontal="left" wrapText="1"/>
    </xf>
    <xf numFmtId="166" fontId="10" fillId="13" borderId="41" xfId="8" applyNumberFormat="1" applyFont="1" applyFill="1" applyBorder="1" applyAlignment="1">
      <alignment horizontal="left" wrapText="1"/>
    </xf>
    <xf numFmtId="0" fontId="21" fillId="0" borderId="32" xfId="0" applyFont="1" applyBorder="1" applyAlignment="1">
      <alignment horizontal="center" vertical="center" wrapText="1"/>
    </xf>
    <xf numFmtId="166" fontId="10" fillId="6" borderId="59" xfId="8" applyNumberFormat="1" applyFont="1" applyFill="1" applyBorder="1" applyAlignment="1">
      <alignment horizontal="left" vertical="center" wrapText="1"/>
    </xf>
    <xf numFmtId="166" fontId="10" fillId="6" borderId="3" xfId="8" applyNumberFormat="1" applyFont="1" applyFill="1" applyBorder="1" applyAlignment="1">
      <alignment horizontal="left" vertical="center" wrapText="1"/>
    </xf>
    <xf numFmtId="166" fontId="10" fillId="6" borderId="24" xfId="8" applyNumberFormat="1" applyFont="1" applyFill="1" applyBorder="1" applyAlignment="1">
      <alignment horizontal="left" vertical="center" wrapText="1"/>
    </xf>
    <xf numFmtId="166" fontId="10" fillId="6" borderId="59" xfId="8" applyNumberFormat="1" applyFont="1" applyFill="1" applyBorder="1" applyAlignment="1">
      <alignment horizontal="left" wrapText="1"/>
    </xf>
    <xf numFmtId="166" fontId="10" fillId="6" borderId="3" xfId="8" applyNumberFormat="1" applyFont="1" applyFill="1" applyBorder="1" applyAlignment="1">
      <alignment horizontal="left" wrapText="1"/>
    </xf>
    <xf numFmtId="166" fontId="10" fillId="6" borderId="24" xfId="8" applyNumberFormat="1" applyFont="1" applyFill="1" applyBorder="1" applyAlignment="1">
      <alignment horizontal="left" wrapText="1"/>
    </xf>
    <xf numFmtId="0" fontId="3" fillId="0" borderId="14"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0" borderId="14" xfId="0" applyNumberFormat="1" applyFill="1" applyBorder="1" applyAlignment="1">
      <alignment horizontal="left" vertical="top" wrapText="1"/>
    </xf>
    <xf numFmtId="0" fontId="0" fillId="0" borderId="2" xfId="0" applyNumberFormat="1" applyFill="1" applyBorder="1" applyAlignment="1">
      <alignment horizontal="left" vertical="top" wrapText="1"/>
    </xf>
    <xf numFmtId="0" fontId="0" fillId="0" borderId="1" xfId="0" applyNumberFormat="1" applyFill="1" applyBorder="1" applyAlignment="1">
      <alignment horizontal="left" vertical="top" wrapText="1"/>
    </xf>
    <xf numFmtId="0" fontId="0" fillId="0" borderId="14" xfId="0" applyNumberFormat="1" applyBorder="1" applyAlignment="1">
      <alignment horizontal="left" vertical="top" wrapText="1"/>
    </xf>
    <xf numFmtId="0" fontId="0" fillId="0" borderId="2" xfId="0" applyNumberFormat="1" applyBorder="1" applyAlignment="1">
      <alignment horizontal="left" vertical="top" wrapText="1"/>
    </xf>
    <xf numFmtId="0" fontId="0" fillId="0" borderId="1" xfId="0" applyNumberFormat="1" applyBorder="1" applyAlignment="1">
      <alignment horizontal="left" vertical="top" wrapText="1"/>
    </xf>
    <xf numFmtId="0" fontId="1" fillId="0" borderId="14" xfId="0" applyNumberFormat="1" applyFont="1" applyFill="1" applyBorder="1" applyAlignment="1">
      <alignment horizontal="left" vertical="center" wrapText="1"/>
    </xf>
    <xf numFmtId="0" fontId="1" fillId="0" borderId="2"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4" xfId="0" applyNumberFormat="1" applyFont="1" applyBorder="1" applyAlignment="1">
      <alignment horizontal="left" vertical="center" wrapText="1"/>
    </xf>
    <xf numFmtId="0" fontId="1" fillId="0" borderId="2" xfId="0" applyNumberFormat="1" applyFont="1" applyBorder="1" applyAlignment="1">
      <alignment horizontal="left" vertical="center" wrapText="1"/>
    </xf>
    <xf numFmtId="0" fontId="1" fillId="0" borderId="14" xfId="0" applyNumberFormat="1" applyFont="1" applyFill="1" applyBorder="1" applyAlignment="1">
      <alignment horizontal="left" vertical="center"/>
    </xf>
    <xf numFmtId="0" fontId="1" fillId="0" borderId="2" xfId="0" applyNumberFormat="1" applyFont="1" applyFill="1" applyBorder="1" applyAlignment="1">
      <alignment horizontal="left" vertical="center"/>
    </xf>
    <xf numFmtId="0" fontId="4" fillId="0" borderId="0" xfId="0" applyNumberFormat="1" applyFont="1" applyAlignment="1">
      <alignment horizontal="left" vertical="center"/>
    </xf>
    <xf numFmtId="0" fontId="0" fillId="0" borderId="2" xfId="0" applyBorder="1"/>
    <xf numFmtId="0" fontId="0" fillId="0" borderId="1" xfId="0" applyBorder="1"/>
    <xf numFmtId="0" fontId="3" fillId="17" borderId="50" xfId="0" applyFont="1" applyFill="1" applyBorder="1" applyAlignment="1">
      <alignment horizontal="left" wrapText="1"/>
    </xf>
    <xf numFmtId="0" fontId="0" fillId="0" borderId="46" xfId="0" applyBorder="1" applyAlignment="1">
      <alignment horizontal="left" wrapText="1"/>
    </xf>
    <xf numFmtId="0" fontId="0" fillId="6" borderId="35" xfId="0" applyFill="1" applyBorder="1" applyAlignment="1">
      <alignment horizontal="left" vertical="top" wrapText="1"/>
    </xf>
    <xf numFmtId="0" fontId="0" fillId="6" borderId="0" xfId="0" applyFill="1" applyBorder="1" applyAlignment="1">
      <alignment horizontal="left" vertical="top" wrapText="1"/>
    </xf>
    <xf numFmtId="0" fontId="0" fillId="6" borderId="7" xfId="0" applyFill="1" applyBorder="1" applyAlignment="1">
      <alignment horizontal="left" vertical="top" wrapText="1"/>
    </xf>
    <xf numFmtId="0" fontId="0" fillId="6" borderId="70" xfId="0" applyFill="1" applyBorder="1" applyAlignment="1">
      <alignment horizontal="left" vertical="top" wrapText="1"/>
    </xf>
    <xf numFmtId="0" fontId="0" fillId="6" borderId="9" xfId="0" applyFill="1" applyBorder="1" applyAlignment="1">
      <alignment horizontal="left" vertical="top" wrapText="1"/>
    </xf>
    <xf numFmtId="0" fontId="0" fillId="6" borderId="18" xfId="0" applyFill="1" applyBorder="1" applyAlignment="1">
      <alignment horizontal="left" vertical="top" wrapText="1"/>
    </xf>
    <xf numFmtId="0" fontId="0" fillId="0" borderId="16"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36" fillId="0" borderId="0" xfId="0" applyFont="1" applyBorder="1" applyAlignment="1">
      <alignment horizontal="left" wrapText="1"/>
    </xf>
    <xf numFmtId="0" fontId="7" fillId="0" borderId="29" xfId="0" applyNumberFormat="1" applyFont="1" applyBorder="1" applyAlignment="1">
      <alignment horizontal="left" wrapText="1"/>
    </xf>
    <xf numFmtId="0" fontId="7" fillId="0" borderId="11" xfId="0" applyNumberFormat="1" applyFont="1" applyBorder="1" applyAlignment="1">
      <alignment horizontal="left" wrapText="1"/>
    </xf>
    <xf numFmtId="0" fontId="7" fillId="0" borderId="27" xfId="0" applyNumberFormat="1" applyFont="1" applyBorder="1" applyAlignment="1">
      <alignment horizontal="left" wrapText="1"/>
    </xf>
    <xf numFmtId="0" fontId="0" fillId="0" borderId="62" xfId="0" applyNumberFormat="1" applyBorder="1" applyAlignment="1">
      <alignment horizontal="left" vertical="top" wrapText="1"/>
    </xf>
    <xf numFmtId="0" fontId="0" fillId="0" borderId="6" xfId="0" applyNumberFormat="1" applyBorder="1" applyAlignment="1">
      <alignment horizontal="left" vertical="top" wrapText="1"/>
    </xf>
    <xf numFmtId="0" fontId="0" fillId="0" borderId="41" xfId="0" applyNumberFormat="1" applyBorder="1" applyAlignment="1">
      <alignment horizontal="left" vertical="top" wrapText="1"/>
    </xf>
    <xf numFmtId="0" fontId="0" fillId="0" borderId="8" xfId="0" applyNumberFormat="1" applyBorder="1" applyAlignment="1">
      <alignment horizontal="left" wrapText="1"/>
    </xf>
    <xf numFmtId="0" fontId="0" fillId="0" borderId="61" xfId="0" applyNumberFormat="1" applyBorder="1" applyAlignment="1">
      <alignment horizontal="center" vertical="center" wrapText="1"/>
    </xf>
    <xf numFmtId="0" fontId="0" fillId="0" borderId="35" xfId="0" applyNumberFormat="1" applyBorder="1" applyAlignment="1">
      <alignment horizontal="center" vertical="center" wrapText="1"/>
    </xf>
    <xf numFmtId="0" fontId="0" fillId="0" borderId="62" xfId="0" applyNumberFormat="1" applyBorder="1" applyAlignment="1">
      <alignment horizontal="center" vertical="center" wrapText="1"/>
    </xf>
    <xf numFmtId="0" fontId="0" fillId="0" borderId="8" xfId="0" applyNumberFormat="1" applyBorder="1" applyAlignment="1">
      <alignment horizontal="center" vertical="center" wrapText="1"/>
    </xf>
    <xf numFmtId="0" fontId="0" fillId="0" borderId="0" xfId="0" applyNumberFormat="1" applyBorder="1" applyAlignment="1">
      <alignment horizontal="center" vertical="center" wrapText="1"/>
    </xf>
    <xf numFmtId="0" fontId="0" fillId="0" borderId="6" xfId="0" applyNumberFormat="1" applyBorder="1" applyAlignment="1">
      <alignment horizontal="center" vertical="center" wrapText="1"/>
    </xf>
    <xf numFmtId="0" fontId="0" fillId="0" borderId="29" xfId="0" applyFill="1" applyBorder="1" applyAlignment="1">
      <alignment horizontal="left" vertical="center" wrapText="1"/>
    </xf>
    <xf numFmtId="0" fontId="0" fillId="0" borderId="11" xfId="0" applyFill="1" applyBorder="1" applyAlignment="1">
      <alignment horizontal="left" vertical="center" wrapText="1"/>
    </xf>
    <xf numFmtId="0" fontId="0" fillId="0" borderId="75" xfId="0" applyFill="1" applyBorder="1" applyAlignment="1">
      <alignment horizontal="left" vertical="center" wrapText="1"/>
    </xf>
    <xf numFmtId="0" fontId="3" fillId="0" borderId="52" xfId="0" applyNumberFormat="1" applyFont="1" applyBorder="1" applyAlignment="1">
      <alignment horizontal="left" vertical="center" wrapText="1" indent="2"/>
    </xf>
    <xf numFmtId="0" fontId="0" fillId="0" borderId="48" xfId="0" applyBorder="1" applyAlignment="1">
      <alignment horizontal="left" vertical="center" wrapText="1" indent="2"/>
    </xf>
    <xf numFmtId="0" fontId="0" fillId="0" borderId="49" xfId="0" applyBorder="1" applyAlignment="1">
      <alignment horizontal="left" vertical="center" wrapText="1" indent="2"/>
    </xf>
    <xf numFmtId="2" fontId="24" fillId="0" borderId="39" xfId="7" applyNumberFormat="1" applyFont="1" applyBorder="1" applyAlignment="1" applyProtection="1">
      <alignment horizontal="center"/>
    </xf>
    <xf numFmtId="2" fontId="24" fillId="0" borderId="64" xfId="7" applyNumberFormat="1" applyFont="1" applyBorder="1" applyAlignment="1" applyProtection="1">
      <alignment horizontal="center"/>
    </xf>
    <xf numFmtId="2" fontId="24" fillId="13" borderId="13" xfId="7" applyNumberFormat="1" applyFont="1" applyFill="1" applyBorder="1" applyAlignment="1" applyProtection="1">
      <alignment vertical="center" wrapText="1"/>
    </xf>
    <xf numFmtId="0" fontId="0" fillId="13" borderId="13" xfId="0" applyFill="1" applyBorder="1" applyAlignment="1">
      <alignment vertical="center" wrapText="1"/>
    </xf>
    <xf numFmtId="0" fontId="0" fillId="13" borderId="45" xfId="0" applyFill="1" applyBorder="1" applyAlignment="1">
      <alignment vertical="center" wrapText="1"/>
    </xf>
    <xf numFmtId="2" fontId="24" fillId="13" borderId="50" xfId="7" applyNumberFormat="1" applyFont="1" applyFill="1" applyBorder="1" applyAlignment="1" applyProtection="1">
      <alignment vertical="center" wrapText="1"/>
    </xf>
    <xf numFmtId="0" fontId="0" fillId="13" borderId="50" xfId="0" applyFill="1" applyBorder="1" applyAlignment="1">
      <alignment vertical="center" wrapText="1"/>
    </xf>
    <xf numFmtId="0" fontId="0" fillId="13" borderId="46" xfId="0" applyFill="1" applyBorder="1" applyAlignment="1">
      <alignment vertical="center" wrapText="1"/>
    </xf>
    <xf numFmtId="0" fontId="7" fillId="0" borderId="14" xfId="0" applyNumberFormat="1" applyFont="1" applyBorder="1" applyAlignment="1">
      <alignment horizontal="left" wrapText="1"/>
    </xf>
    <xf numFmtId="0" fontId="7" fillId="0" borderId="2" xfId="0" applyNumberFormat="1" applyFont="1" applyBorder="1" applyAlignment="1">
      <alignment horizontal="left" wrapText="1"/>
    </xf>
    <xf numFmtId="0" fontId="7" fillId="0" borderId="1" xfId="0" applyNumberFormat="1" applyFont="1" applyBorder="1" applyAlignment="1">
      <alignment horizontal="left" wrapText="1"/>
    </xf>
    <xf numFmtId="0" fontId="0" fillId="6" borderId="14" xfId="0" applyFill="1" applyBorder="1" applyAlignment="1">
      <alignment horizontal="left" vertical="top" wrapText="1"/>
    </xf>
    <xf numFmtId="0" fontId="0" fillId="6" borderId="2" xfId="0" applyFill="1" applyBorder="1" applyAlignment="1">
      <alignment horizontal="left" vertical="top" wrapText="1"/>
    </xf>
    <xf numFmtId="0" fontId="0" fillId="6" borderId="1" xfId="0" applyFill="1" applyBorder="1" applyAlignment="1">
      <alignment horizontal="left" vertical="top" wrapText="1"/>
    </xf>
    <xf numFmtId="0" fontId="0" fillId="6" borderId="17" xfId="0" applyFill="1" applyBorder="1" applyAlignment="1">
      <alignment horizontal="left" vertical="top" wrapText="1"/>
    </xf>
    <xf numFmtId="0" fontId="0" fillId="6" borderId="40" xfId="0" applyFill="1" applyBorder="1" applyAlignment="1">
      <alignment horizontal="left" vertical="top" wrapText="1"/>
    </xf>
    <xf numFmtId="0" fontId="0" fillId="0" borderId="37" xfId="0" applyNumberFormat="1" applyBorder="1" applyAlignment="1">
      <alignment horizontal="center" vertical="center" wrapText="1"/>
    </xf>
    <xf numFmtId="0" fontId="0" fillId="0" borderId="19" xfId="0" applyNumberFormat="1" applyBorder="1" applyAlignment="1">
      <alignment horizontal="center" vertical="center" wrapText="1"/>
    </xf>
    <xf numFmtId="0" fontId="0" fillId="6" borderId="16" xfId="0" applyFill="1" applyBorder="1" applyAlignment="1">
      <alignment horizontal="left" vertical="top" wrapText="1"/>
    </xf>
    <xf numFmtId="0" fontId="0" fillId="6" borderId="23" xfId="0" applyFill="1" applyBorder="1" applyAlignment="1">
      <alignment horizontal="left" vertical="top" wrapText="1"/>
    </xf>
    <xf numFmtId="0" fontId="0" fillId="6" borderId="55" xfId="0" applyFill="1" applyBorder="1" applyAlignment="1">
      <alignment horizontal="left" vertical="top" wrapText="1"/>
    </xf>
    <xf numFmtId="0" fontId="0" fillId="6" borderId="25" xfId="0" applyFill="1" applyBorder="1" applyAlignment="1">
      <alignment horizontal="left" vertical="top" wrapText="1"/>
    </xf>
    <xf numFmtId="0" fontId="0" fillId="6" borderId="36" xfId="0" applyFill="1" applyBorder="1" applyAlignment="1">
      <alignment horizontal="left" vertical="top" wrapText="1"/>
    </xf>
    <xf numFmtId="0" fontId="0" fillId="0" borderId="29" xfId="0" applyNumberFormat="1" applyBorder="1" applyAlignment="1">
      <alignment horizontal="center" vertical="center" wrapText="1"/>
    </xf>
    <xf numFmtId="0" fontId="0" fillId="0" borderId="11" xfId="0" applyNumberFormat="1" applyBorder="1" applyAlignment="1">
      <alignment horizontal="center" vertical="center" wrapText="1"/>
    </xf>
    <xf numFmtId="0" fontId="0" fillId="0" borderId="61" xfId="0" applyNumberFormat="1" applyFill="1" applyBorder="1" applyAlignment="1">
      <alignment horizontal="left" vertical="top" wrapText="1"/>
    </xf>
    <xf numFmtId="0" fontId="0" fillId="0" borderId="8" xfId="0" applyNumberFormat="1" applyFill="1" applyBorder="1" applyAlignment="1">
      <alignment horizontal="left" vertical="top" wrapText="1"/>
    </xf>
    <xf numFmtId="0" fontId="0" fillId="0" borderId="10" xfId="0" applyNumberFormat="1" applyFill="1" applyBorder="1" applyAlignment="1">
      <alignment horizontal="left" vertical="top" wrapText="1"/>
    </xf>
    <xf numFmtId="0" fontId="0" fillId="0" borderId="16" xfId="0" applyNumberFormat="1" applyBorder="1" applyAlignment="1">
      <alignment horizontal="center" vertical="center" wrapText="1"/>
    </xf>
    <xf numFmtId="0" fontId="0" fillId="0" borderId="2" xfId="0" applyNumberFormat="1" applyBorder="1" applyAlignment="1">
      <alignment horizontal="center" vertical="center" wrapText="1"/>
    </xf>
    <xf numFmtId="0" fontId="0" fillId="0" borderId="29" xfId="0" applyNumberFormat="1" applyBorder="1" applyAlignment="1">
      <alignment horizontal="left" wrapText="1"/>
    </xf>
    <xf numFmtId="0" fontId="0" fillId="0" borderId="11" xfId="0" applyNumberFormat="1" applyBorder="1" applyAlignment="1">
      <alignment horizontal="left" wrapText="1"/>
    </xf>
    <xf numFmtId="0" fontId="0" fillId="0" borderId="27" xfId="0" applyNumberFormat="1" applyBorder="1" applyAlignment="1">
      <alignment horizontal="left" wrapText="1"/>
    </xf>
    <xf numFmtId="0" fontId="0" fillId="0" borderId="2" xfId="0" applyNumberFormat="1" applyBorder="1" applyAlignment="1">
      <alignment horizontal="left" wrapText="1"/>
    </xf>
    <xf numFmtId="0" fontId="0" fillId="0" borderId="23" xfId="0" applyNumberFormat="1" applyBorder="1" applyAlignment="1">
      <alignment horizontal="left" wrapText="1"/>
    </xf>
    <xf numFmtId="0" fontId="0" fillId="0" borderId="2" xfId="0" quotePrefix="1" applyNumberFormat="1" applyBorder="1" applyAlignment="1">
      <alignment horizontal="left" wrapText="1"/>
    </xf>
    <xf numFmtId="0" fontId="0" fillId="0" borderId="23" xfId="0" quotePrefix="1" applyNumberFormat="1" applyBorder="1" applyAlignment="1">
      <alignment horizontal="left" wrapText="1"/>
    </xf>
    <xf numFmtId="0" fontId="0" fillId="0" borderId="25" xfId="0" applyNumberFormat="1" applyBorder="1" applyAlignment="1">
      <alignment horizontal="left" wrapText="1"/>
    </xf>
    <xf numFmtId="0" fontId="0" fillId="0" borderId="36" xfId="0" applyNumberFormat="1" applyBorder="1" applyAlignment="1">
      <alignment horizontal="left" wrapText="1"/>
    </xf>
    <xf numFmtId="0" fontId="3" fillId="17" borderId="13" xfId="0" applyFont="1" applyFill="1" applyBorder="1" applyAlignment="1">
      <alignment horizontal="left" wrapText="1"/>
    </xf>
    <xf numFmtId="0" fontId="0" fillId="0" borderId="45" xfId="0" applyBorder="1" applyAlignment="1">
      <alignment horizontal="left" wrapText="1"/>
    </xf>
    <xf numFmtId="0" fontId="7" fillId="0" borderId="0" xfId="0" applyNumberFormat="1" applyFont="1" applyBorder="1" applyAlignment="1">
      <alignment horizontal="left" wrapText="1"/>
    </xf>
    <xf numFmtId="0" fontId="0" fillId="0" borderId="0" xfId="0" applyBorder="1"/>
    <xf numFmtId="0" fontId="3" fillId="14" borderId="37" xfId="0" applyFont="1" applyFill="1" applyBorder="1" applyAlignment="1">
      <alignment horizontal="center"/>
    </xf>
    <xf numFmtId="0" fontId="3" fillId="14" borderId="19" xfId="0" applyFont="1" applyFill="1" applyBorder="1" applyAlignment="1">
      <alignment horizontal="center"/>
    </xf>
    <xf numFmtId="0" fontId="3" fillId="14" borderId="56" xfId="0" applyFont="1" applyFill="1" applyBorder="1" applyAlignment="1">
      <alignment horizontal="center"/>
    </xf>
    <xf numFmtId="0" fontId="4" fillId="0" borderId="0" xfId="0" applyNumberFormat="1" applyFont="1" applyAlignment="1">
      <alignment horizontal="left" vertical="center" wrapText="1"/>
    </xf>
    <xf numFmtId="0" fontId="37" fillId="0" borderId="39" xfId="0" applyNumberFormat="1" applyFont="1" applyBorder="1" applyAlignment="1">
      <alignment horizontal="left" vertical="center" wrapText="1"/>
    </xf>
    <xf numFmtId="0" fontId="37" fillId="0" borderId="64" xfId="0" applyNumberFormat="1" applyFont="1" applyBorder="1" applyAlignment="1">
      <alignment horizontal="left" vertical="center" wrapText="1"/>
    </xf>
    <xf numFmtId="0" fontId="0" fillId="0" borderId="13" xfId="0" applyNumberFormat="1" applyBorder="1" applyAlignment="1">
      <alignment horizontal="left" wrapText="1"/>
    </xf>
    <xf numFmtId="0" fontId="0" fillId="0" borderId="45" xfId="0" applyNumberFormat="1" applyBorder="1" applyAlignment="1">
      <alignment horizontal="left" wrapText="1"/>
    </xf>
    <xf numFmtId="0" fontId="35" fillId="0" borderId="12" xfId="0" applyNumberFormat="1" applyFont="1" applyBorder="1" applyAlignment="1">
      <alignment horizontal="left" vertical="center" wrapText="1"/>
    </xf>
    <xf numFmtId="0" fontId="0" fillId="0" borderId="12" xfId="0" applyNumberFormat="1" applyBorder="1" applyAlignment="1">
      <alignment horizontal="left" vertical="center" wrapText="1"/>
    </xf>
    <xf numFmtId="0" fontId="0" fillId="0" borderId="69" xfId="0" applyNumberFormat="1" applyBorder="1" applyAlignment="1">
      <alignment horizontal="left" vertical="center" wrapText="1"/>
    </xf>
    <xf numFmtId="0" fontId="3" fillId="14" borderId="32" xfId="0" applyFont="1" applyFill="1" applyBorder="1" applyAlignment="1">
      <alignment horizontal="center"/>
    </xf>
    <xf numFmtId="0" fontId="0" fillId="14" borderId="34" xfId="0" applyFill="1" applyBorder="1" applyAlignment="1"/>
    <xf numFmtId="0" fontId="3" fillId="17" borderId="13" xfId="0" applyFont="1" applyFill="1" applyBorder="1" applyAlignment="1">
      <alignment horizontal="center" vertical="center"/>
    </xf>
    <xf numFmtId="0" fontId="0" fillId="0" borderId="13" xfId="0" applyBorder="1" applyAlignment="1">
      <alignment vertical="center"/>
    </xf>
    <xf numFmtId="0" fontId="0" fillId="0" borderId="45" xfId="0" applyBorder="1" applyAlignment="1">
      <alignment vertical="center"/>
    </xf>
    <xf numFmtId="0" fontId="0" fillId="14" borderId="19" xfId="0" applyFill="1" applyBorder="1" applyAlignment="1"/>
    <xf numFmtId="0" fontId="0" fillId="14" borderId="20" xfId="0" applyFill="1" applyBorder="1" applyAlignment="1"/>
    <xf numFmtId="0" fontId="3" fillId="17" borderId="67" xfId="0" applyFont="1" applyFill="1" applyBorder="1" applyAlignment="1">
      <alignment horizontal="left" vertical="center" wrapText="1"/>
    </xf>
    <xf numFmtId="0" fontId="0" fillId="0" borderId="11" xfId="0" applyBorder="1" applyAlignment="1">
      <alignment horizontal="left" vertical="center" wrapText="1"/>
    </xf>
    <xf numFmtId="0" fontId="0" fillId="0" borderId="27" xfId="0" applyBorder="1" applyAlignment="1">
      <alignment horizontal="left" vertical="center" wrapText="1"/>
    </xf>
    <xf numFmtId="0" fontId="0" fillId="6" borderId="17" xfId="0" applyFill="1" applyBorder="1" applyAlignment="1" applyProtection="1">
      <alignment horizontal="left" vertical="top" wrapText="1"/>
    </xf>
    <xf numFmtId="0" fontId="0" fillId="6" borderId="0" xfId="0" applyFill="1" applyBorder="1" applyAlignment="1" applyProtection="1">
      <alignment horizontal="left" vertical="top" wrapText="1"/>
    </xf>
    <xf numFmtId="0" fontId="0" fillId="6" borderId="40" xfId="0" applyFill="1" applyBorder="1" applyAlignment="1" applyProtection="1">
      <alignment horizontal="left" vertical="top" wrapText="1"/>
    </xf>
    <xf numFmtId="0" fontId="0" fillId="6" borderId="14" xfId="0" applyFill="1" applyBorder="1" applyAlignment="1" applyProtection="1">
      <alignment horizontal="left" vertical="top" wrapText="1"/>
    </xf>
    <xf numFmtId="0" fontId="0" fillId="6" borderId="2" xfId="0" applyFill="1" applyBorder="1" applyAlignment="1" applyProtection="1">
      <alignment horizontal="left" vertical="top" wrapText="1"/>
    </xf>
    <xf numFmtId="0" fontId="0" fillId="6" borderId="1" xfId="0" applyFill="1" applyBorder="1" applyAlignment="1" applyProtection="1">
      <alignment horizontal="left" vertical="top" wrapText="1"/>
    </xf>
    <xf numFmtId="0" fontId="0" fillId="0" borderId="37" xfId="0" applyNumberFormat="1" applyBorder="1" applyAlignment="1" applyProtection="1">
      <alignment horizontal="left" wrapText="1"/>
    </xf>
    <xf numFmtId="0" fontId="0" fillId="0" borderId="19" xfId="0" applyNumberFormat="1" applyBorder="1" applyAlignment="1" applyProtection="1">
      <alignment horizontal="left" wrapText="1"/>
    </xf>
    <xf numFmtId="0" fontId="0" fillId="0" borderId="2" xfId="0" applyNumberFormat="1" applyBorder="1" applyAlignment="1" applyProtection="1">
      <alignment horizontal="left" wrapText="1"/>
    </xf>
    <xf numFmtId="0" fontId="0" fillId="0" borderId="23" xfId="0" applyNumberFormat="1" applyBorder="1" applyAlignment="1" applyProtection="1">
      <alignment horizontal="left" wrapText="1"/>
    </xf>
    <xf numFmtId="0" fontId="0" fillId="0" borderId="1" xfId="0" quotePrefix="1" applyNumberFormat="1" applyBorder="1" applyAlignment="1" applyProtection="1">
      <alignment horizontal="left" wrapText="1"/>
    </xf>
    <xf numFmtId="0" fontId="0" fillId="0" borderId="13" xfId="0" applyNumberFormat="1" applyBorder="1" applyAlignment="1" applyProtection="1">
      <alignment horizontal="left" wrapText="1"/>
    </xf>
    <xf numFmtId="0" fontId="0" fillId="0" borderId="45" xfId="0" applyNumberFormat="1" applyBorder="1" applyAlignment="1" applyProtection="1">
      <alignment horizontal="left" wrapText="1"/>
    </xf>
    <xf numFmtId="0" fontId="0" fillId="0" borderId="57" xfId="0" applyNumberFormat="1" applyBorder="1" applyAlignment="1" applyProtection="1">
      <alignment horizontal="left" wrapText="1"/>
    </xf>
    <xf numFmtId="0" fontId="0" fillId="0" borderId="37" xfId="0" applyNumberFormat="1" applyBorder="1" applyAlignment="1" applyProtection="1">
      <alignment horizontal="center" vertical="center" wrapText="1"/>
    </xf>
    <xf numFmtId="0" fontId="0" fillId="0" borderId="19" xfId="0" applyNumberFormat="1" applyBorder="1" applyAlignment="1" applyProtection="1">
      <alignment horizontal="center" vertical="center" wrapText="1"/>
    </xf>
    <xf numFmtId="0" fontId="7" fillId="0" borderId="14" xfId="0" applyNumberFormat="1" applyFont="1" applyBorder="1" applyAlignment="1" applyProtection="1">
      <alignment horizontal="left" wrapText="1"/>
    </xf>
    <xf numFmtId="0" fontId="7" fillId="0" borderId="2" xfId="0" applyNumberFormat="1" applyFont="1" applyBorder="1" applyAlignment="1" applyProtection="1">
      <alignment horizontal="left" wrapText="1"/>
    </xf>
    <xf numFmtId="0" fontId="0" fillId="0" borderId="14" xfId="0" applyNumberFormat="1" applyBorder="1" applyAlignment="1" applyProtection="1">
      <alignment horizontal="left" vertical="top" wrapText="1"/>
    </xf>
    <xf numFmtId="0" fontId="0" fillId="0" borderId="2" xfId="0" applyNumberFormat="1" applyBorder="1" applyAlignment="1" applyProtection="1">
      <alignment horizontal="left" vertical="top" wrapText="1"/>
    </xf>
    <xf numFmtId="0" fontId="0" fillId="0" borderId="1" xfId="0" applyNumberFormat="1" applyBorder="1" applyAlignment="1" applyProtection="1">
      <alignment horizontal="left" vertical="top" wrapText="1"/>
    </xf>
    <xf numFmtId="0" fontId="0" fillId="0" borderId="61" xfId="0" applyNumberFormat="1" applyBorder="1" applyAlignment="1" applyProtection="1">
      <alignment horizontal="left" wrapText="1"/>
    </xf>
    <xf numFmtId="0" fontId="0" fillId="0" borderId="8" xfId="0" applyNumberFormat="1" applyBorder="1" applyAlignment="1" applyProtection="1">
      <alignment horizontal="left" wrapText="1"/>
    </xf>
    <xf numFmtId="0" fontId="0" fillId="0" borderId="10" xfId="0" applyNumberFormat="1" applyBorder="1" applyAlignment="1" applyProtection="1">
      <alignment horizontal="left" wrapText="1"/>
    </xf>
    <xf numFmtId="0" fontId="0" fillId="0" borderId="2" xfId="0" applyBorder="1" applyAlignment="1" applyProtection="1">
      <alignment horizontal="left" wrapText="1"/>
    </xf>
    <xf numFmtId="0" fontId="0" fillId="0" borderId="23" xfId="0" applyBorder="1" applyAlignment="1" applyProtection="1">
      <alignment horizontal="left" wrapText="1"/>
    </xf>
    <xf numFmtId="0" fontId="0" fillId="0" borderId="35" xfId="0" applyNumberFormat="1" applyBorder="1" applyAlignment="1" applyProtection="1">
      <alignment horizontal="center" vertical="center" wrapText="1"/>
    </xf>
    <xf numFmtId="0" fontId="0" fillId="0" borderId="62" xfId="0" applyNumberFormat="1" applyBorder="1" applyAlignment="1" applyProtection="1">
      <alignment horizontal="center" vertical="center" wrapText="1"/>
    </xf>
    <xf numFmtId="0" fontId="0" fillId="0" borderId="0" xfId="0" applyNumberFormat="1" applyBorder="1" applyAlignment="1" applyProtection="1">
      <alignment horizontal="center" vertical="center" wrapText="1"/>
    </xf>
    <xf numFmtId="0" fontId="0" fillId="0" borderId="6" xfId="0" applyNumberFormat="1" applyBorder="1" applyAlignment="1" applyProtection="1">
      <alignment horizontal="center" vertical="center" wrapText="1"/>
    </xf>
    <xf numFmtId="0" fontId="7" fillId="0" borderId="1" xfId="0" applyNumberFormat="1" applyFont="1" applyBorder="1" applyAlignment="1" applyProtection="1">
      <alignment horizontal="left" wrapText="1"/>
    </xf>
    <xf numFmtId="0" fontId="0" fillId="0" borderId="29" xfId="0" applyNumberFormat="1" applyBorder="1" applyAlignment="1" applyProtection="1">
      <alignment horizontal="center" vertical="center" wrapText="1"/>
    </xf>
    <xf numFmtId="0" fontId="0" fillId="0" borderId="11" xfId="0" applyNumberFormat="1" applyBorder="1" applyAlignment="1" applyProtection="1">
      <alignment horizontal="center" vertical="center" wrapText="1"/>
    </xf>
    <xf numFmtId="0" fontId="0" fillId="0" borderId="0" xfId="0" applyNumberFormat="1" applyBorder="1" applyAlignment="1" applyProtection="1">
      <alignment horizontal="left" vertical="top" wrapText="1"/>
    </xf>
    <xf numFmtId="0" fontId="0" fillId="0" borderId="55" xfId="0" applyNumberFormat="1" applyBorder="1" applyAlignment="1" applyProtection="1">
      <alignment horizontal="center" vertical="center" wrapText="1"/>
    </xf>
    <xf numFmtId="0" fontId="0" fillId="0" borderId="25" xfId="0" applyNumberFormat="1" applyBorder="1" applyAlignment="1" applyProtection="1">
      <alignment horizontal="center" vertical="center" wrapText="1"/>
    </xf>
    <xf numFmtId="0" fontId="28" fillId="0" borderId="37" xfId="0" applyNumberFormat="1" applyFont="1" applyBorder="1" applyAlignment="1" applyProtection="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4" xfId="0" applyNumberFormat="1" applyFill="1" applyBorder="1" applyAlignment="1" applyProtection="1">
      <alignment horizontal="left" vertical="center" wrapText="1"/>
    </xf>
    <xf numFmtId="0" fontId="0" fillId="0" borderId="13" xfId="0" applyNumberFormat="1" applyFill="1" applyBorder="1" applyAlignment="1" applyProtection="1">
      <alignment horizontal="left" vertical="center" wrapText="1"/>
    </xf>
    <xf numFmtId="0" fontId="0" fillId="0" borderId="4" xfId="0" applyNumberFormat="1" applyBorder="1" applyAlignment="1" applyProtection="1">
      <alignment horizontal="left" vertical="center" wrapText="1"/>
    </xf>
    <xf numFmtId="0" fontId="0" fillId="0" borderId="13" xfId="0" applyNumberFormat="1" applyBorder="1" applyAlignment="1" applyProtection="1">
      <alignment horizontal="left" vertical="center" wrapText="1"/>
    </xf>
    <xf numFmtId="0" fontId="0" fillId="0" borderId="54" xfId="0" applyNumberFormat="1" applyBorder="1" applyAlignment="1" applyProtection="1">
      <alignment horizontal="left" vertical="center" wrapText="1"/>
    </xf>
    <xf numFmtId="0" fontId="0" fillId="0" borderId="50" xfId="0" applyNumberFormat="1" applyBorder="1" applyAlignment="1" applyProtection="1">
      <alignment horizontal="left" vertical="center" wrapText="1"/>
    </xf>
    <xf numFmtId="0" fontId="3" fillId="17" borderId="50" xfId="0" applyFont="1" applyFill="1" applyBorder="1" applyAlignment="1">
      <alignment horizontal="center" vertical="center"/>
    </xf>
    <xf numFmtId="0" fontId="0" fillId="0" borderId="50" xfId="0" applyBorder="1" applyAlignment="1">
      <alignment vertical="center"/>
    </xf>
    <xf numFmtId="0" fontId="0" fillId="0" borderId="46" xfId="0" applyBorder="1" applyAlignment="1">
      <alignment vertical="center"/>
    </xf>
    <xf numFmtId="0" fontId="4" fillId="0" borderId="0" xfId="0" applyNumberFormat="1" applyFont="1" applyAlignment="1" applyProtection="1">
      <alignment horizontal="left" vertical="center" wrapText="1"/>
    </xf>
    <xf numFmtId="0" fontId="1" fillId="0" borderId="17" xfId="0" applyNumberFormat="1" applyFont="1" applyBorder="1" applyAlignment="1" applyProtection="1">
      <alignment horizontal="left" vertical="center" wrapText="1"/>
    </xf>
    <xf numFmtId="0" fontId="0" fillId="0" borderId="0" xfId="0" applyNumberFormat="1" applyBorder="1" applyAlignment="1" applyProtection="1">
      <alignment horizontal="left" vertical="center" wrapText="1"/>
    </xf>
    <xf numFmtId="0" fontId="0" fillId="0" borderId="7" xfId="0" applyNumberFormat="1" applyBorder="1" applyAlignment="1" applyProtection="1">
      <alignment horizontal="left" vertical="center" wrapText="1"/>
    </xf>
    <xf numFmtId="2" fontId="24" fillId="13" borderId="42" xfId="7" applyNumberFormat="1" applyFont="1" applyFill="1" applyBorder="1" applyAlignment="1" applyProtection="1">
      <alignment vertical="center" wrapText="1"/>
    </xf>
    <xf numFmtId="0" fontId="0" fillId="13" borderId="42" xfId="0" applyFill="1" applyBorder="1" applyAlignment="1" applyProtection="1">
      <alignment vertical="center" wrapText="1"/>
    </xf>
    <xf numFmtId="0" fontId="0" fillId="13" borderId="63" xfId="0" applyFill="1" applyBorder="1" applyAlignment="1" applyProtection="1">
      <alignment vertical="center" wrapText="1"/>
    </xf>
    <xf numFmtId="0" fontId="7" fillId="0" borderId="0" xfId="0" applyNumberFormat="1" applyFont="1" applyBorder="1" applyAlignment="1" applyProtection="1">
      <alignment horizontal="left" wrapText="1"/>
    </xf>
    <xf numFmtId="0" fontId="3" fillId="0" borderId="52" xfId="0" applyNumberFormat="1" applyFont="1" applyBorder="1" applyAlignment="1" applyProtection="1">
      <alignment horizontal="left" vertical="center" wrapText="1" indent="1"/>
    </xf>
    <xf numFmtId="0" fontId="3" fillId="0" borderId="48" xfId="0" applyNumberFormat="1" applyFont="1" applyBorder="1" applyAlignment="1" applyProtection="1">
      <alignment horizontal="left" vertical="center" wrapText="1" indent="1"/>
    </xf>
    <xf numFmtId="0" fontId="3" fillId="0" borderId="49" xfId="0" applyNumberFormat="1" applyFont="1" applyBorder="1" applyAlignment="1" applyProtection="1">
      <alignment horizontal="left" vertical="center" wrapText="1" indent="1"/>
    </xf>
    <xf numFmtId="2" fontId="24" fillId="0" borderId="67" xfId="7" applyNumberFormat="1" applyFont="1" applyBorder="1" applyAlignment="1" applyProtection="1">
      <alignment horizontal="center"/>
    </xf>
    <xf numFmtId="2" fontId="24" fillId="0" borderId="11" xfId="7" applyNumberFormat="1" applyFont="1" applyBorder="1" applyAlignment="1" applyProtection="1">
      <alignment horizontal="center"/>
    </xf>
    <xf numFmtId="2" fontId="24" fillId="0" borderId="27" xfId="7" applyNumberFormat="1" applyFont="1" applyBorder="1" applyAlignment="1" applyProtection="1">
      <alignment horizontal="center"/>
    </xf>
    <xf numFmtId="0" fontId="0" fillId="13" borderId="13" xfId="0" applyFill="1" applyBorder="1" applyAlignment="1" applyProtection="1">
      <alignment vertical="center" wrapText="1"/>
    </xf>
    <xf numFmtId="0" fontId="0" fillId="13" borderId="45" xfId="0" applyFill="1" applyBorder="1" applyAlignment="1" applyProtection="1">
      <alignment vertical="center" wrapText="1"/>
    </xf>
    <xf numFmtId="0" fontId="0" fillId="13" borderId="50" xfId="0" applyFill="1" applyBorder="1" applyAlignment="1" applyProtection="1">
      <alignment vertical="center" wrapText="1"/>
    </xf>
    <xf numFmtId="0" fontId="0" fillId="13" borderId="46" xfId="0" applyFill="1" applyBorder="1" applyAlignment="1" applyProtection="1">
      <alignment vertical="center" wrapText="1"/>
    </xf>
    <xf numFmtId="0" fontId="37" fillId="0" borderId="67" xfId="0" applyNumberFormat="1" applyFont="1" applyBorder="1" applyAlignment="1" applyProtection="1">
      <alignment horizontal="left" vertical="center" wrapText="1"/>
    </xf>
    <xf numFmtId="0" fontId="37" fillId="0" borderId="11" xfId="0" applyNumberFormat="1" applyFont="1" applyBorder="1" applyAlignment="1" applyProtection="1">
      <alignment horizontal="left" vertical="center" wrapText="1"/>
    </xf>
    <xf numFmtId="0" fontId="3" fillId="14" borderId="37" xfId="0" applyFont="1" applyFill="1" applyBorder="1" applyAlignment="1" applyProtection="1">
      <alignment horizontal="center"/>
    </xf>
    <xf numFmtId="0" fontId="3" fillId="14" borderId="19" xfId="0" applyFont="1" applyFill="1" applyBorder="1" applyAlignment="1" applyProtection="1">
      <alignment horizontal="center"/>
    </xf>
    <xf numFmtId="0" fontId="3" fillId="14" borderId="56" xfId="0" applyFont="1" applyFill="1" applyBorder="1" applyAlignment="1" applyProtection="1">
      <alignment horizontal="center"/>
    </xf>
    <xf numFmtId="0" fontId="0" fillId="0" borderId="47" xfId="0" applyNumberFormat="1" applyFill="1" applyBorder="1" applyAlignment="1" applyProtection="1">
      <alignment horizontal="left" vertical="center" wrapText="1"/>
    </xf>
    <xf numFmtId="0" fontId="0" fillId="0" borderId="42" xfId="0" applyNumberFormat="1" applyFont="1" applyFill="1" applyBorder="1" applyAlignment="1" applyProtection="1">
      <alignment horizontal="left" vertical="center" wrapText="1"/>
    </xf>
    <xf numFmtId="0" fontId="1" fillId="17" borderId="13" xfId="0" applyFont="1" applyFill="1" applyBorder="1" applyAlignment="1">
      <alignment horizontal="left" vertical="center" wrapText="1"/>
    </xf>
    <xf numFmtId="0" fontId="1" fillId="17" borderId="45" xfId="0" applyFont="1" applyFill="1" applyBorder="1" applyAlignment="1">
      <alignment horizontal="left" vertical="center" wrapText="1"/>
    </xf>
    <xf numFmtId="0" fontId="3" fillId="17" borderId="13" xfId="0" applyFont="1" applyFill="1" applyBorder="1" applyAlignment="1">
      <alignment horizontal="left" vertical="center" wrapText="1"/>
    </xf>
    <xf numFmtId="0" fontId="3" fillId="17" borderId="45" xfId="0" applyFont="1" applyFill="1" applyBorder="1" applyAlignment="1">
      <alignment horizontal="left" vertical="center" wrapText="1"/>
    </xf>
    <xf numFmtId="0" fontId="0" fillId="0" borderId="61" xfId="0" applyNumberFormat="1" applyBorder="1" applyAlignment="1" applyProtection="1">
      <alignment horizontal="center" vertical="center" wrapText="1"/>
    </xf>
    <xf numFmtId="0" fontId="0" fillId="0" borderId="8" xfId="0" applyNumberFormat="1" applyBorder="1" applyAlignment="1" applyProtection="1">
      <alignment horizontal="center" vertical="center" wrapText="1"/>
    </xf>
    <xf numFmtId="0" fontId="0" fillId="6" borderId="55" xfId="0" applyFill="1" applyBorder="1" applyAlignment="1" applyProtection="1">
      <alignment horizontal="left" vertical="top" wrapText="1"/>
    </xf>
    <xf numFmtId="0" fontId="0" fillId="6" borderId="25" xfId="0" applyFill="1" applyBorder="1" applyAlignment="1" applyProtection="1">
      <alignment horizontal="left" vertical="top" wrapText="1"/>
    </xf>
    <xf numFmtId="0" fontId="0" fillId="6" borderId="36" xfId="0" applyFill="1" applyBorder="1" applyAlignment="1" applyProtection="1">
      <alignment horizontal="left" vertical="top" wrapText="1"/>
    </xf>
    <xf numFmtId="0" fontId="0" fillId="0" borderId="16" xfId="0" applyNumberFormat="1" applyBorder="1" applyAlignment="1" applyProtection="1">
      <alignment horizontal="center" vertical="center" wrapText="1"/>
    </xf>
    <xf numFmtId="0" fontId="0" fillId="0" borderId="2" xfId="0" applyNumberFormat="1" applyBorder="1" applyAlignment="1" applyProtection="1">
      <alignment horizontal="center" vertical="center" wrapText="1"/>
    </xf>
    <xf numFmtId="0" fontId="0" fillId="0" borderId="29" xfId="0" applyNumberFormat="1" applyBorder="1" applyAlignment="1" applyProtection="1">
      <alignment horizontal="left" vertical="top" wrapText="1"/>
    </xf>
    <xf numFmtId="0" fontId="0" fillId="0" borderId="11" xfId="0" applyBorder="1" applyAlignment="1">
      <alignment horizontal="left" vertical="top" wrapText="1"/>
    </xf>
    <xf numFmtId="0" fontId="0" fillId="0" borderId="27" xfId="0" applyBorder="1" applyAlignment="1">
      <alignment horizontal="left" vertical="top" wrapText="1"/>
    </xf>
    <xf numFmtId="0" fontId="0" fillId="0" borderId="2" xfId="0" applyBorder="1" applyAlignment="1">
      <alignment horizontal="left" wrapText="1"/>
    </xf>
    <xf numFmtId="0" fontId="0" fillId="0" borderId="23" xfId="0" applyBorder="1" applyAlignment="1">
      <alignment horizontal="left" wrapText="1"/>
    </xf>
    <xf numFmtId="0" fontId="7" fillId="0" borderId="29" xfId="0" applyNumberFormat="1" applyFont="1" applyBorder="1" applyAlignment="1" applyProtection="1">
      <alignment horizontal="left" wrapText="1"/>
    </xf>
    <xf numFmtId="0" fontId="7" fillId="0" borderId="11" xfId="0" applyNumberFormat="1" applyFont="1" applyBorder="1" applyAlignment="1" applyProtection="1">
      <alignment horizontal="left" wrapText="1"/>
    </xf>
    <xf numFmtId="0" fontId="7" fillId="0" borderId="27" xfId="0" applyNumberFormat="1" applyFont="1" applyBorder="1" applyAlignment="1" applyProtection="1">
      <alignment horizontal="left" wrapText="1"/>
    </xf>
    <xf numFmtId="0" fontId="0" fillId="6" borderId="16" xfId="0" applyFill="1" applyBorder="1" applyAlignment="1" applyProtection="1">
      <alignment horizontal="left" vertical="top" wrapText="1"/>
    </xf>
    <xf numFmtId="0" fontId="0" fillId="6" borderId="23" xfId="0" applyFill="1" applyBorder="1" applyAlignment="1" applyProtection="1">
      <alignment horizontal="left" vertical="top" wrapText="1"/>
    </xf>
    <xf numFmtId="0" fontId="1" fillId="17" borderId="50" xfId="0" applyFont="1" applyFill="1" applyBorder="1" applyAlignment="1">
      <alignment horizontal="left" vertical="center" wrapText="1"/>
    </xf>
    <xf numFmtId="0" fontId="1" fillId="17" borderId="46" xfId="0" applyFont="1" applyFill="1" applyBorder="1" applyAlignment="1">
      <alignment horizontal="left" vertical="center" wrapText="1"/>
    </xf>
    <xf numFmtId="0" fontId="37" fillId="0" borderId="39" xfId="0" applyNumberFormat="1" applyFont="1" applyBorder="1" applyAlignment="1" applyProtection="1">
      <alignment horizontal="left" vertical="center" wrapText="1"/>
    </xf>
    <xf numFmtId="0" fontId="37" fillId="0" borderId="64" xfId="0" applyNumberFormat="1" applyFont="1" applyBorder="1" applyAlignment="1" applyProtection="1">
      <alignment horizontal="left" vertical="center" wrapText="1"/>
    </xf>
    <xf numFmtId="0" fontId="1" fillId="0" borderId="50" xfId="0" applyNumberFormat="1" applyFont="1" applyBorder="1" applyAlignment="1" applyProtection="1">
      <alignment horizontal="left" vertical="center" wrapText="1"/>
    </xf>
    <xf numFmtId="0" fontId="1" fillId="0" borderId="46" xfId="0" applyNumberFormat="1" applyFont="1" applyBorder="1" applyAlignment="1" applyProtection="1">
      <alignment horizontal="left" vertical="center" wrapText="1"/>
    </xf>
    <xf numFmtId="0" fontId="7" fillId="0" borderId="6" xfId="0" applyNumberFormat="1" applyFont="1" applyBorder="1" applyAlignment="1" applyProtection="1">
      <alignment horizontal="left" wrapText="1"/>
    </xf>
    <xf numFmtId="0" fontId="3" fillId="14" borderId="35" xfId="0" applyFont="1" applyFill="1" applyBorder="1" applyAlignment="1" applyProtection="1">
      <alignment horizontal="center"/>
    </xf>
    <xf numFmtId="0" fontId="3" fillId="14" borderId="0" xfId="0" applyFont="1" applyFill="1" applyBorder="1" applyAlignment="1" applyProtection="1">
      <alignment horizontal="center"/>
    </xf>
    <xf numFmtId="0" fontId="3" fillId="14" borderId="40" xfId="0" applyFont="1" applyFill="1" applyBorder="1" applyAlignment="1" applyProtection="1">
      <alignment horizontal="center"/>
    </xf>
    <xf numFmtId="0" fontId="3" fillId="14" borderId="67" xfId="0" applyFont="1" applyFill="1" applyBorder="1" applyAlignment="1">
      <alignment horizontal="center"/>
    </xf>
    <xf numFmtId="0" fontId="3" fillId="14" borderId="11" xfId="0" applyFont="1" applyFill="1" applyBorder="1" applyAlignment="1">
      <alignment horizontal="center"/>
    </xf>
    <xf numFmtId="0" fontId="3" fillId="14" borderId="27" xfId="0" applyFont="1" applyFill="1" applyBorder="1" applyAlignment="1">
      <alignment horizontal="center"/>
    </xf>
    <xf numFmtId="0" fontId="0" fillId="0" borderId="30" xfId="0" applyFont="1" applyBorder="1" applyAlignment="1" applyProtection="1">
      <alignment vertical="center"/>
    </xf>
    <xf numFmtId="0" fontId="0" fillId="0" borderId="25" xfId="0" applyBorder="1" applyAlignment="1">
      <alignment vertical="center"/>
    </xf>
    <xf numFmtId="0" fontId="0" fillId="0" borderId="36" xfId="0" applyBorder="1" applyAlignment="1">
      <alignment vertical="center"/>
    </xf>
    <xf numFmtId="0" fontId="0" fillId="0" borderId="29" xfId="0" applyNumberFormat="1" applyBorder="1" applyAlignment="1" applyProtection="1">
      <alignment horizontal="left" vertical="center" wrapText="1"/>
    </xf>
    <xf numFmtId="0" fontId="0" fillId="0" borderId="15" xfId="0" applyFont="1" applyBorder="1" applyAlignment="1" applyProtection="1">
      <alignment vertical="center"/>
    </xf>
    <xf numFmtId="0" fontId="0" fillId="0" borderId="9" xfId="0" applyBorder="1" applyAlignment="1">
      <alignment vertical="center"/>
    </xf>
    <xf numFmtId="0" fontId="0" fillId="0" borderId="18" xfId="0" applyBorder="1" applyAlignment="1">
      <alignment vertical="center"/>
    </xf>
    <xf numFmtId="0" fontId="0" fillId="0" borderId="16" xfId="0" applyNumberFormat="1" applyFill="1" applyBorder="1" applyAlignment="1" applyProtection="1">
      <alignment horizontal="left" vertical="center" wrapText="1"/>
    </xf>
    <xf numFmtId="0" fontId="0" fillId="0" borderId="2" xfId="0" applyNumberFormat="1" applyFill="1" applyBorder="1" applyAlignment="1" applyProtection="1">
      <alignment horizontal="left" vertical="center" wrapText="1"/>
    </xf>
    <xf numFmtId="0" fontId="0" fillId="0" borderId="1" xfId="0" applyNumberFormat="1" applyFill="1" applyBorder="1" applyAlignment="1" applyProtection="1">
      <alignment horizontal="left" vertical="center" wrapText="1"/>
    </xf>
    <xf numFmtId="0" fontId="0" fillId="0" borderId="16" xfId="0" applyNumberFormat="1" applyBorder="1" applyAlignment="1" applyProtection="1">
      <alignment horizontal="left" vertical="center" wrapText="1"/>
    </xf>
    <xf numFmtId="0" fontId="0" fillId="0" borderId="2" xfId="0" applyNumberFormat="1" applyBorder="1" applyAlignment="1" applyProtection="1">
      <alignment horizontal="left" vertical="center" wrapText="1"/>
    </xf>
    <xf numFmtId="0" fontId="0" fillId="0" borderId="1" xfId="0" applyNumberFormat="1" applyBorder="1" applyAlignment="1" applyProtection="1">
      <alignment horizontal="left" vertical="center" wrapText="1"/>
    </xf>
    <xf numFmtId="0" fontId="0" fillId="0" borderId="55" xfId="0" applyNumberFormat="1" applyBorder="1" applyAlignment="1" applyProtection="1">
      <alignment horizontal="left" vertical="center" wrapText="1"/>
    </xf>
    <xf numFmtId="0" fontId="0" fillId="0" borderId="25" xfId="0" applyNumberFormat="1" applyBorder="1" applyAlignment="1" applyProtection="1">
      <alignment horizontal="left" vertical="center" wrapText="1"/>
    </xf>
    <xf numFmtId="0" fontId="0" fillId="0" borderId="60" xfId="0" applyNumberFormat="1" applyBorder="1" applyAlignment="1" applyProtection="1">
      <alignment horizontal="left" vertical="center" wrapText="1"/>
    </xf>
    <xf numFmtId="0" fontId="0" fillId="0" borderId="38" xfId="0" applyNumberFormat="1" applyBorder="1" applyAlignment="1" applyProtection="1">
      <alignment horizontal="center" vertical="center" wrapText="1"/>
    </xf>
    <xf numFmtId="0" fontId="0" fillId="0" borderId="3" xfId="0" applyNumberFormat="1" applyBorder="1" applyAlignment="1" applyProtection="1">
      <alignment horizontal="center" vertical="center" wrapText="1"/>
    </xf>
    <xf numFmtId="0" fontId="3" fillId="14" borderId="61" xfId="0" applyFont="1" applyFill="1" applyBorder="1" applyAlignment="1" applyProtection="1">
      <alignment horizontal="center"/>
    </xf>
    <xf numFmtId="0" fontId="3" fillId="14" borderId="8" xfId="0" applyFont="1" applyFill="1" applyBorder="1" applyAlignment="1" applyProtection="1">
      <alignment horizontal="center"/>
    </xf>
    <xf numFmtId="0" fontId="3" fillId="14" borderId="71" xfId="0" applyFont="1" applyFill="1" applyBorder="1" applyAlignment="1" applyProtection="1">
      <alignment horizontal="center"/>
    </xf>
    <xf numFmtId="0" fontId="0" fillId="0" borderId="59" xfId="0" applyNumberFormat="1" applyBorder="1" applyAlignment="1" applyProtection="1">
      <alignment horizontal="left" wrapText="1"/>
    </xf>
    <xf numFmtId="0" fontId="0" fillId="0" borderId="3" xfId="0" applyNumberFormat="1" applyBorder="1" applyAlignment="1" applyProtection="1">
      <alignment horizontal="left" wrapText="1"/>
    </xf>
    <xf numFmtId="0" fontId="0" fillId="0" borderId="26" xfId="0" applyNumberFormat="1" applyBorder="1" applyAlignment="1" applyProtection="1">
      <alignment horizontal="left" wrapText="1"/>
    </xf>
    <xf numFmtId="2" fontId="24" fillId="13" borderId="30" xfId="7" applyNumberFormat="1" applyFont="1" applyFill="1" applyBorder="1" applyAlignment="1" applyProtection="1">
      <alignment vertical="center" wrapText="1"/>
    </xf>
    <xf numFmtId="0" fontId="0" fillId="13" borderId="25" xfId="0" applyFill="1" applyBorder="1" applyAlignment="1" applyProtection="1">
      <alignment vertical="center" wrapText="1"/>
    </xf>
    <xf numFmtId="0" fontId="0" fillId="13" borderId="36" xfId="0" applyFill="1" applyBorder="1" applyAlignment="1" applyProtection="1">
      <alignment vertical="center" wrapText="1"/>
    </xf>
    <xf numFmtId="0" fontId="0" fillId="0" borderId="49" xfId="0" applyBorder="1" applyAlignment="1" applyProtection="1">
      <alignment horizontal="left" vertical="center" wrapText="1" indent="1"/>
    </xf>
    <xf numFmtId="0" fontId="0" fillId="0" borderId="11" xfId="0" applyBorder="1" applyAlignment="1" applyProtection="1">
      <alignment horizontal="left" vertical="center" wrapText="1"/>
    </xf>
    <xf numFmtId="0" fontId="0" fillId="0" borderId="27" xfId="0" applyBorder="1" applyAlignment="1" applyProtection="1">
      <alignment horizontal="left" vertical="center" wrapText="1"/>
    </xf>
    <xf numFmtId="0" fontId="0" fillId="0" borderId="11" xfId="0" applyNumberFormat="1" applyBorder="1" applyAlignment="1" applyProtection="1">
      <alignment horizontal="left" vertical="center" wrapText="1"/>
    </xf>
    <xf numFmtId="0" fontId="0" fillId="0" borderId="27" xfId="0" applyNumberFormat="1" applyBorder="1" applyAlignment="1" applyProtection="1">
      <alignment horizontal="left" vertical="center" wrapText="1"/>
    </xf>
    <xf numFmtId="0" fontId="0" fillId="6" borderId="35" xfId="0" applyFill="1" applyBorder="1" applyAlignment="1" applyProtection="1">
      <alignment horizontal="left" vertical="top" wrapText="1"/>
    </xf>
    <xf numFmtId="0" fontId="0" fillId="6" borderId="7" xfId="0" applyFill="1" applyBorder="1" applyAlignment="1" applyProtection="1">
      <alignment horizontal="left" vertical="top" wrapText="1"/>
    </xf>
    <xf numFmtId="0" fontId="0" fillId="0" borderId="37" xfId="0" applyNumberFormat="1" applyBorder="1" applyAlignment="1" applyProtection="1">
      <alignment horizontal="left" vertical="top" wrapText="1"/>
    </xf>
    <xf numFmtId="0" fontId="1" fillId="0" borderId="30" xfId="0" applyNumberFormat="1" applyFont="1" applyBorder="1" applyAlignment="1" applyProtection="1">
      <alignment horizontal="left" vertical="center" wrapText="1"/>
    </xf>
    <xf numFmtId="0" fontId="13" fillId="0" borderId="25" xfId="0" applyNumberFormat="1" applyFont="1" applyBorder="1" applyAlignment="1" applyProtection="1">
      <alignment horizontal="left" vertical="center" wrapText="1"/>
    </xf>
    <xf numFmtId="0" fontId="13" fillId="0" borderId="36" xfId="0" applyNumberFormat="1" applyFont="1" applyBorder="1" applyAlignment="1" applyProtection="1">
      <alignment horizontal="left" vertical="center" wrapText="1"/>
    </xf>
    <xf numFmtId="0" fontId="3" fillId="0" borderId="52" xfId="0" applyNumberFormat="1" applyFont="1" applyBorder="1" applyAlignment="1" applyProtection="1">
      <alignment horizontal="left" vertical="center" wrapText="1" indent="2"/>
    </xf>
    <xf numFmtId="0" fontId="3" fillId="0" borderId="48" xfId="0" applyNumberFormat="1" applyFont="1" applyBorder="1" applyAlignment="1" applyProtection="1">
      <alignment horizontal="left" vertical="center" wrapText="1" indent="2"/>
    </xf>
    <xf numFmtId="0" fontId="3" fillId="0" borderId="49" xfId="0" applyNumberFormat="1" applyFont="1" applyBorder="1" applyAlignment="1" applyProtection="1">
      <alignment horizontal="left" vertical="center" wrapText="1" indent="2"/>
    </xf>
    <xf numFmtId="0" fontId="0" fillId="0" borderId="60" xfId="0" quotePrefix="1" applyNumberFormat="1" applyBorder="1" applyAlignment="1">
      <alignment horizontal="left" wrapText="1"/>
    </xf>
    <xf numFmtId="0" fontId="0" fillId="0" borderId="50" xfId="0" applyNumberFormat="1" applyBorder="1" applyAlignment="1">
      <alignment horizontal="left" wrapText="1"/>
    </xf>
    <xf numFmtId="0" fontId="0" fillId="0" borderId="46" xfId="0" applyNumberFormat="1" applyBorder="1" applyAlignment="1">
      <alignment horizontal="left" wrapText="1"/>
    </xf>
    <xf numFmtId="0" fontId="0" fillId="0" borderId="25" xfId="0" applyNumberFormat="1" applyBorder="1" applyAlignment="1">
      <alignment horizontal="left" vertical="top" wrapText="1"/>
    </xf>
    <xf numFmtId="0" fontId="0" fillId="0" borderId="60" xfId="0" applyNumberFormat="1" applyBorder="1" applyAlignment="1">
      <alignment horizontal="left" vertical="top" wrapText="1"/>
    </xf>
    <xf numFmtId="0" fontId="0" fillId="0" borderId="37" xfId="0" applyNumberFormat="1" applyBorder="1" applyAlignment="1">
      <alignment horizontal="left" vertical="top" wrapText="1"/>
    </xf>
    <xf numFmtId="0" fontId="0" fillId="0" borderId="19" xfId="0" applyNumberFormat="1" applyBorder="1" applyAlignment="1">
      <alignment horizontal="left" vertical="top" wrapText="1"/>
    </xf>
    <xf numFmtId="0" fontId="0" fillId="0" borderId="20" xfId="0" applyNumberFormat="1" applyBorder="1" applyAlignment="1">
      <alignment horizontal="left" vertical="top" wrapText="1"/>
    </xf>
    <xf numFmtId="0" fontId="0" fillId="0" borderId="16" xfId="0" applyNumberFormat="1" applyBorder="1" applyAlignment="1" applyProtection="1">
      <alignment horizontal="left" vertical="top" wrapText="1"/>
    </xf>
    <xf numFmtId="0" fontId="0" fillId="0" borderId="16" xfId="0" applyNumberFormat="1" applyBorder="1" applyAlignment="1" applyProtection="1">
      <alignment horizontal="left" wrapText="1"/>
    </xf>
    <xf numFmtId="0" fontId="0" fillId="0" borderId="1" xfId="0" applyNumberFormat="1" applyBorder="1" applyAlignment="1" applyProtection="1">
      <alignment horizontal="left" wrapText="1"/>
    </xf>
    <xf numFmtId="0" fontId="0" fillId="0" borderId="55" xfId="0" applyNumberFormat="1" applyBorder="1" applyAlignment="1" applyProtection="1">
      <alignment horizontal="left" wrapText="1"/>
    </xf>
    <xf numFmtId="0" fontId="0" fillId="0" borderId="25" xfId="0" applyNumberFormat="1" applyBorder="1" applyAlignment="1" applyProtection="1">
      <alignment horizontal="left" wrapText="1"/>
    </xf>
    <xf numFmtId="0" fontId="0" fillId="0" borderId="60" xfId="0" applyNumberFormat="1" applyBorder="1" applyAlignment="1" applyProtection="1">
      <alignment horizontal="left" wrapText="1"/>
    </xf>
    <xf numFmtId="0" fontId="0" fillId="0" borderId="13" xfId="0" applyBorder="1" applyAlignment="1">
      <alignment wrapText="1"/>
    </xf>
    <xf numFmtId="0" fontId="0" fillId="0" borderId="45" xfId="0" applyBorder="1" applyAlignment="1">
      <alignment wrapText="1"/>
    </xf>
    <xf numFmtId="0" fontId="3" fillId="0" borderId="37" xfId="0" applyNumberFormat="1" applyFont="1" applyBorder="1" applyAlignment="1" applyProtection="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0" fontId="3" fillId="14" borderId="37" xfId="0" applyNumberFormat="1" applyFont="1" applyFill="1" applyBorder="1" applyAlignment="1" applyProtection="1">
      <alignment horizontal="left" vertical="top" wrapText="1"/>
    </xf>
    <xf numFmtId="0" fontId="0" fillId="14" borderId="19" xfId="0" applyFill="1" applyBorder="1" applyAlignment="1">
      <alignment horizontal="left"/>
    </xf>
    <xf numFmtId="0" fontId="0" fillId="14" borderId="20" xfId="0" applyFill="1" applyBorder="1" applyAlignment="1">
      <alignment horizontal="left"/>
    </xf>
    <xf numFmtId="0" fontId="3" fillId="14" borderId="37" xfId="0" applyNumberFormat="1" applyFont="1" applyFill="1" applyBorder="1" applyAlignment="1" applyProtection="1">
      <alignment horizontal="center" vertical="top" wrapText="1"/>
    </xf>
    <xf numFmtId="0" fontId="3" fillId="14" borderId="19" xfId="0" applyNumberFormat="1" applyFont="1" applyFill="1" applyBorder="1" applyAlignment="1" applyProtection="1">
      <alignment horizontal="center" vertical="top" wrapText="1"/>
    </xf>
    <xf numFmtId="0" fontId="3" fillId="14" borderId="20" xfId="0" applyNumberFormat="1" applyFont="1" applyFill="1" applyBorder="1" applyAlignment="1" applyProtection="1">
      <alignment horizontal="center" vertical="top" wrapText="1"/>
    </xf>
    <xf numFmtId="0" fontId="3" fillId="5" borderId="29" xfId="0" applyNumberFormat="1" applyFont="1" applyFill="1" applyBorder="1" applyAlignment="1" applyProtection="1">
      <alignment horizontal="center" vertical="center" wrapText="1"/>
    </xf>
    <xf numFmtId="0" fontId="3" fillId="5" borderId="11" xfId="0" applyNumberFormat="1" applyFont="1" applyFill="1" applyBorder="1" applyAlignment="1" applyProtection="1">
      <alignment horizontal="center" vertical="center" wrapText="1"/>
    </xf>
    <xf numFmtId="0" fontId="3" fillId="5" borderId="27" xfId="0" applyNumberFormat="1" applyFont="1" applyFill="1" applyBorder="1" applyAlignment="1" applyProtection="1">
      <alignment horizontal="center" vertical="center" wrapText="1"/>
    </xf>
    <xf numFmtId="0" fontId="3" fillId="0" borderId="29" xfId="0" applyNumberFormat="1" applyFont="1" applyBorder="1" applyAlignment="1" applyProtection="1">
      <alignment horizontal="center" vertical="center" wrapText="1"/>
    </xf>
    <xf numFmtId="0" fontId="3" fillId="0" borderId="11" xfId="0" applyNumberFormat="1" applyFont="1" applyBorder="1" applyAlignment="1" applyProtection="1">
      <alignment horizontal="center" vertical="center" wrapText="1"/>
    </xf>
    <xf numFmtId="0" fontId="3" fillId="0" borderId="27" xfId="0" applyNumberFormat="1" applyFont="1" applyBorder="1" applyAlignment="1" applyProtection="1">
      <alignment horizontal="center" vertical="center" wrapText="1"/>
    </xf>
    <xf numFmtId="0" fontId="0" fillId="0" borderId="56" xfId="0" applyNumberFormat="1" applyBorder="1" applyAlignment="1" applyProtection="1">
      <alignment horizontal="center" vertical="center" wrapText="1"/>
    </xf>
    <xf numFmtId="9" fontId="3" fillId="5" borderId="51" xfId="11" applyFont="1" applyFill="1" applyBorder="1" applyAlignment="1" applyProtection="1">
      <alignment horizontal="center" vertical="center" wrapText="1"/>
    </xf>
    <xf numFmtId="9" fontId="3" fillId="5" borderId="65" xfId="11" applyFont="1" applyFill="1" applyBorder="1" applyAlignment="1" applyProtection="1">
      <alignment horizontal="center" vertical="center" wrapText="1"/>
    </xf>
    <xf numFmtId="9" fontId="3" fillId="5" borderId="66" xfId="11" applyFont="1" applyFill="1" applyBorder="1" applyAlignment="1" applyProtection="1">
      <alignment horizontal="center" vertical="center" wrapText="1"/>
    </xf>
    <xf numFmtId="0" fontId="0" fillId="0" borderId="33" xfId="0" applyNumberFormat="1" applyBorder="1" applyAlignment="1" applyProtection="1">
      <alignment horizontal="left" vertical="center" wrapText="1"/>
    </xf>
    <xf numFmtId="0" fontId="0" fillId="0" borderId="8" xfId="0" applyNumberFormat="1" applyBorder="1" applyAlignment="1" applyProtection="1">
      <alignment horizontal="left" vertical="center" wrapText="1"/>
    </xf>
    <xf numFmtId="0" fontId="0" fillId="0" borderId="19" xfId="0" applyBorder="1" applyAlignment="1"/>
    <xf numFmtId="0" fontId="0" fillId="0" borderId="20" xfId="0" applyBorder="1" applyAlignment="1"/>
    <xf numFmtId="0" fontId="0" fillId="0" borderId="0" xfId="0" applyBorder="1" applyProtection="1"/>
    <xf numFmtId="0" fontId="3" fillId="0" borderId="35" xfId="0" applyFont="1" applyBorder="1" applyAlignment="1" applyProtection="1">
      <alignment horizontal="left"/>
    </xf>
    <xf numFmtId="0" fontId="3" fillId="0" borderId="0" xfId="0" applyFont="1" applyBorder="1" applyAlignment="1" applyProtection="1">
      <alignment horizontal="left"/>
    </xf>
    <xf numFmtId="0" fontId="0" fillId="0" borderId="39" xfId="0" applyBorder="1" applyAlignment="1"/>
    <xf numFmtId="0" fontId="0" fillId="0" borderId="64" xfId="0" applyBorder="1" applyAlignment="1"/>
    <xf numFmtId="0" fontId="3" fillId="14" borderId="68" xfId="0" applyFont="1" applyFill="1" applyBorder="1" applyAlignment="1">
      <alignment horizontal="center"/>
    </xf>
    <xf numFmtId="0" fontId="3" fillId="14" borderId="8" xfId="0" applyFont="1" applyFill="1" applyBorder="1" applyAlignment="1">
      <alignment horizontal="center"/>
    </xf>
    <xf numFmtId="0" fontId="0" fillId="0" borderId="8" xfId="0" applyBorder="1" applyAlignment="1"/>
    <xf numFmtId="0" fontId="0" fillId="0" borderId="10" xfId="0" applyBorder="1" applyAlignment="1"/>
    <xf numFmtId="0" fontId="3" fillId="17" borderId="42" xfId="0" applyFont="1" applyFill="1" applyBorder="1" applyAlignment="1">
      <alignment horizontal="left" vertical="center" wrapText="1"/>
    </xf>
    <xf numFmtId="0" fontId="0" fillId="0" borderId="42" xfId="0" applyBorder="1" applyAlignment="1">
      <alignment wrapText="1"/>
    </xf>
    <xf numFmtId="0" fontId="0" fillId="0" borderId="63" xfId="0" applyBorder="1" applyAlignment="1">
      <alignment wrapText="1"/>
    </xf>
    <xf numFmtId="0" fontId="0" fillId="0" borderId="50" xfId="0" applyBorder="1" applyAlignment="1">
      <alignment wrapText="1"/>
    </xf>
    <xf numFmtId="0" fontId="0" fillId="0" borderId="46" xfId="0" applyBorder="1" applyAlignment="1">
      <alignment wrapText="1"/>
    </xf>
    <xf numFmtId="0" fontId="0" fillId="0" borderId="0" xfId="0" applyBorder="1" applyAlignment="1" applyProtection="1"/>
    <xf numFmtId="0" fontId="0" fillId="0" borderId="0" xfId="0" applyBorder="1" applyAlignment="1"/>
    <xf numFmtId="0" fontId="0" fillId="0" borderId="7" xfId="0" applyBorder="1" applyAlignment="1"/>
    <xf numFmtId="0" fontId="0" fillId="0" borderId="2" xfId="0" applyBorder="1" applyAlignment="1" applyProtection="1"/>
    <xf numFmtId="0" fontId="0" fillId="0" borderId="2" xfId="0" applyBorder="1" applyAlignment="1"/>
    <xf numFmtId="0" fontId="0" fillId="0" borderId="23" xfId="0" applyBorder="1" applyAlignment="1"/>
    <xf numFmtId="0" fontId="0" fillId="0" borderId="50" xfId="0" applyBorder="1" applyAlignment="1"/>
    <xf numFmtId="0" fontId="0" fillId="0" borderId="46" xfId="0" applyBorder="1" applyAlignment="1"/>
    <xf numFmtId="0" fontId="0" fillId="0" borderId="13" xfId="0" applyBorder="1" applyAlignment="1"/>
    <xf numFmtId="0" fontId="0" fillId="0" borderId="45" xfId="0" applyBorder="1" applyAlignment="1"/>
    <xf numFmtId="2" fontId="24" fillId="0" borderId="42" xfId="7" applyNumberFormat="1" applyFont="1" applyBorder="1" applyAlignment="1" applyProtection="1">
      <alignment horizontal="center"/>
    </xf>
    <xf numFmtId="0" fontId="0" fillId="0" borderId="42" xfId="0" applyBorder="1" applyAlignment="1"/>
    <xf numFmtId="0" fontId="0" fillId="0" borderId="63" xfId="0" applyBorder="1" applyAlignment="1"/>
    <xf numFmtId="0" fontId="3" fillId="0" borderId="16" xfId="0" applyFont="1" applyBorder="1" applyAlignment="1" applyProtection="1">
      <alignment horizontal="left"/>
    </xf>
    <xf numFmtId="0" fontId="3" fillId="0" borderId="2" xfId="0" applyFont="1" applyBorder="1" applyAlignment="1" applyProtection="1">
      <alignment horizontal="left"/>
    </xf>
    <xf numFmtId="0" fontId="0" fillId="0" borderId="38" xfId="0" applyNumberFormat="1" applyBorder="1" applyAlignment="1" applyProtection="1">
      <alignment horizontal="left" vertical="center" wrapText="1"/>
    </xf>
    <xf numFmtId="0" fontId="0" fillId="0" borderId="3" xfId="0" applyNumberFormat="1" applyBorder="1" applyAlignment="1" applyProtection="1">
      <alignment horizontal="left" vertical="center" wrapText="1"/>
    </xf>
    <xf numFmtId="0" fontId="0" fillId="0" borderId="24" xfId="0" applyNumberFormat="1" applyBorder="1" applyAlignment="1" applyProtection="1">
      <alignment horizontal="left" vertical="center" wrapText="1"/>
    </xf>
    <xf numFmtId="0" fontId="0" fillId="0" borderId="0" xfId="0" applyBorder="1" applyAlignment="1" applyProtection="1">
      <alignment wrapText="1"/>
    </xf>
    <xf numFmtId="0" fontId="0" fillId="0" borderId="0" xfId="0" applyBorder="1" applyAlignment="1">
      <alignment wrapText="1"/>
    </xf>
    <xf numFmtId="0" fontId="28" fillId="0" borderId="19" xfId="0" applyFont="1" applyBorder="1" applyAlignment="1">
      <alignment horizontal="left" vertical="top" wrapText="1"/>
    </xf>
    <xf numFmtId="0" fontId="28" fillId="0" borderId="20" xfId="0" applyFont="1" applyBorder="1" applyAlignment="1">
      <alignment horizontal="left" vertical="top" wrapText="1"/>
    </xf>
    <xf numFmtId="0" fontId="0" fillId="0" borderId="0" xfId="0" applyBorder="1" applyAlignment="1">
      <alignment horizontal="left" vertical="top" wrapText="1"/>
    </xf>
    <xf numFmtId="0" fontId="28" fillId="0" borderId="0" xfId="0" applyNumberFormat="1" applyFont="1" applyBorder="1" applyAlignment="1" applyProtection="1">
      <alignment horizontal="left" vertical="top" wrapText="1"/>
    </xf>
    <xf numFmtId="0" fontId="28" fillId="0" borderId="0" xfId="0" applyFont="1" applyBorder="1" applyAlignment="1">
      <alignment horizontal="left" vertical="top" wrapText="1"/>
    </xf>
    <xf numFmtId="0" fontId="1" fillId="0" borderId="0" xfId="0" applyFont="1" applyAlignment="1" applyProtection="1">
      <alignment horizontal="left" wrapText="1"/>
    </xf>
    <xf numFmtId="0" fontId="0" fillId="0" borderId="0" xfId="0" applyFont="1" applyAlignment="1" applyProtection="1">
      <alignment wrapText="1"/>
    </xf>
    <xf numFmtId="0" fontId="0" fillId="6" borderId="70" xfId="0" applyFill="1" applyBorder="1" applyAlignment="1" applyProtection="1">
      <alignment horizontal="left" vertical="top" wrapText="1"/>
    </xf>
    <xf numFmtId="0" fontId="0" fillId="6" borderId="9" xfId="0" applyFill="1" applyBorder="1" applyAlignment="1" applyProtection="1">
      <alignment horizontal="left" vertical="top" wrapText="1"/>
    </xf>
    <xf numFmtId="0" fontId="0" fillId="6" borderId="18" xfId="0" applyFill="1" applyBorder="1" applyAlignment="1" applyProtection="1">
      <alignment horizontal="left" vertical="top" wrapText="1"/>
    </xf>
    <xf numFmtId="0" fontId="0" fillId="0" borderId="17" xfId="0" applyNumberFormat="1" applyFill="1" applyBorder="1" applyAlignment="1" applyProtection="1">
      <alignment horizontal="left" vertical="center" wrapText="1"/>
    </xf>
    <xf numFmtId="0" fontId="0" fillId="0" borderId="0" xfId="0" applyNumberFormat="1" applyFill="1" applyBorder="1" applyAlignment="1" applyProtection="1">
      <alignment horizontal="left" vertical="center" wrapText="1"/>
    </xf>
    <xf numFmtId="0" fontId="0" fillId="0" borderId="7" xfId="0" applyNumberFormat="1" applyFill="1" applyBorder="1" applyAlignment="1" applyProtection="1">
      <alignment horizontal="left" vertical="center" wrapText="1"/>
    </xf>
    <xf numFmtId="2" fontId="24" fillId="0" borderId="68" xfId="7" applyNumberFormat="1" applyFont="1" applyBorder="1" applyAlignment="1" applyProtection="1">
      <alignment horizontal="center"/>
    </xf>
    <xf numFmtId="2" fontId="24" fillId="0" borderId="8" xfId="7" applyNumberFormat="1" applyFont="1" applyBorder="1" applyAlignment="1" applyProtection="1">
      <alignment horizontal="center"/>
    </xf>
    <xf numFmtId="2" fontId="24" fillId="0" borderId="10" xfId="7" applyNumberFormat="1" applyFont="1" applyBorder="1" applyAlignment="1" applyProtection="1">
      <alignment horizontal="center"/>
    </xf>
    <xf numFmtId="0" fontId="37" fillId="0" borderId="27" xfId="0" applyNumberFormat="1" applyFont="1" applyBorder="1" applyAlignment="1" applyProtection="1">
      <alignment horizontal="left" vertical="center" wrapText="1"/>
    </xf>
    <xf numFmtId="0" fontId="3" fillId="14" borderId="5" xfId="0" applyFont="1" applyFill="1" applyBorder="1" applyAlignment="1" applyProtection="1">
      <alignment horizontal="center"/>
    </xf>
    <xf numFmtId="0" fontId="3" fillId="14" borderId="39" xfId="0" applyFont="1" applyFill="1" applyBorder="1" applyAlignment="1" applyProtection="1">
      <alignment horizontal="center"/>
    </xf>
    <xf numFmtId="0" fontId="29" fillId="0" borderId="0" xfId="0" applyFont="1" applyAlignment="1" applyProtection="1">
      <alignment horizontal="left" wrapText="1"/>
    </xf>
    <xf numFmtId="0" fontId="0" fillId="0" borderId="0" xfId="0" applyFont="1" applyAlignment="1">
      <alignment horizontal="left" wrapText="1"/>
    </xf>
    <xf numFmtId="0" fontId="3" fillId="14" borderId="39" xfId="0" applyFont="1" applyFill="1" applyBorder="1" applyAlignment="1">
      <alignment horizontal="center"/>
    </xf>
    <xf numFmtId="0" fontId="3" fillId="14" borderId="64" xfId="0" applyFont="1" applyFill="1" applyBorder="1" applyAlignment="1">
      <alignment horizontal="center"/>
    </xf>
    <xf numFmtId="0" fontId="3" fillId="17" borderId="50" xfId="0" applyFont="1" applyFill="1" applyBorder="1" applyAlignment="1">
      <alignment horizontal="left" vertical="center" wrapText="1"/>
    </xf>
    <xf numFmtId="0" fontId="3" fillId="17" borderId="46" xfId="0" applyFont="1" applyFill="1" applyBorder="1" applyAlignment="1">
      <alignment horizontal="left" vertical="center" wrapText="1"/>
    </xf>
    <xf numFmtId="1" fontId="0" fillId="0" borderId="8" xfId="0" applyNumberFormat="1" applyFill="1" applyBorder="1" applyAlignment="1">
      <alignment horizontal="center" vertical="center" wrapText="1"/>
    </xf>
    <xf numFmtId="1" fontId="0" fillId="0" borderId="0" xfId="0" applyNumberFormat="1" applyFill="1" applyBorder="1" applyAlignment="1">
      <alignment horizontal="center" vertical="center" wrapText="1"/>
    </xf>
    <xf numFmtId="1" fontId="0" fillId="0" borderId="6" xfId="0" applyNumberFormat="1" applyFill="1" applyBorder="1" applyAlignment="1">
      <alignment horizontal="center" vertical="center" wrapText="1"/>
    </xf>
    <xf numFmtId="0" fontId="0" fillId="0" borderId="1" xfId="0" quotePrefix="1" applyNumberFormat="1" applyBorder="1" applyAlignment="1">
      <alignment horizontal="left" wrapText="1"/>
    </xf>
    <xf numFmtId="0" fontId="0" fillId="0" borderId="14" xfId="0" applyNumberFormat="1" applyBorder="1" applyAlignment="1">
      <alignment horizontal="left" wrapText="1"/>
    </xf>
    <xf numFmtId="0" fontId="0" fillId="0" borderId="57" xfId="0" applyNumberFormat="1" applyBorder="1" applyAlignment="1">
      <alignment horizontal="left" wrapText="1"/>
    </xf>
    <xf numFmtId="0" fontId="0" fillId="0" borderId="23" xfId="0" applyNumberFormat="1" applyBorder="1" applyAlignment="1">
      <alignment horizontal="left" vertical="top" wrapText="1"/>
    </xf>
    <xf numFmtId="0" fontId="0" fillId="0" borderId="3" xfId="0" applyNumberFormat="1" applyBorder="1" applyAlignment="1">
      <alignment horizontal="left" vertical="top" wrapText="1"/>
    </xf>
    <xf numFmtId="0" fontId="0" fillId="0" borderId="26" xfId="0" applyNumberFormat="1" applyBorder="1" applyAlignment="1">
      <alignment horizontal="left" vertical="top" wrapText="1"/>
    </xf>
    <xf numFmtId="0" fontId="0" fillId="0" borderId="22" xfId="0" applyNumberFormat="1" applyBorder="1" applyAlignment="1">
      <alignment horizontal="left" vertical="top" wrapText="1"/>
    </xf>
    <xf numFmtId="0" fontId="0" fillId="0" borderId="29" xfId="0" applyNumberFormat="1" applyBorder="1" applyAlignment="1">
      <alignment horizontal="left" vertical="top" wrapText="1"/>
    </xf>
    <xf numFmtId="0" fontId="0" fillId="0" borderId="11" xfId="0" applyNumberFormat="1" applyBorder="1" applyAlignment="1">
      <alignment horizontal="left" vertical="top" wrapText="1"/>
    </xf>
    <xf numFmtId="0" fontId="0" fillId="0" borderId="27" xfId="0" applyNumberFormat="1" applyBorder="1" applyAlignment="1">
      <alignment horizontal="left" vertical="top" wrapText="1"/>
    </xf>
    <xf numFmtId="0" fontId="0" fillId="0" borderId="38" xfId="0" applyNumberFormat="1" applyBorder="1" applyAlignment="1">
      <alignment horizontal="center" vertical="center" wrapText="1"/>
    </xf>
    <xf numFmtId="0" fontId="0" fillId="0" borderId="3" xfId="0" applyNumberFormat="1" applyBorder="1" applyAlignment="1">
      <alignment horizontal="center" vertical="center" wrapText="1"/>
    </xf>
    <xf numFmtId="0" fontId="0" fillId="6" borderId="15" xfId="0" applyFill="1" applyBorder="1" applyAlignment="1">
      <alignment horizontal="left" vertical="top" wrapText="1"/>
    </xf>
    <xf numFmtId="0" fontId="0" fillId="6" borderId="57" xfId="0" applyFill="1" applyBorder="1" applyAlignment="1">
      <alignment horizontal="left" vertical="top" wrapText="1"/>
    </xf>
    <xf numFmtId="0" fontId="0" fillId="16" borderId="14" xfId="0" applyNumberFormat="1" applyFill="1" applyBorder="1" applyAlignment="1">
      <alignment horizontal="left" vertical="top" wrapText="1"/>
    </xf>
    <xf numFmtId="0" fontId="0" fillId="16" borderId="2" xfId="0" applyNumberFormat="1" applyFill="1" applyBorder="1" applyAlignment="1">
      <alignment horizontal="left" vertical="top" wrapText="1"/>
    </xf>
    <xf numFmtId="0" fontId="0" fillId="16" borderId="1" xfId="0" applyNumberFormat="1" applyFill="1" applyBorder="1" applyAlignment="1">
      <alignment horizontal="left" vertical="top" wrapText="1"/>
    </xf>
    <xf numFmtId="0" fontId="3" fillId="0" borderId="14"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center"/>
    </xf>
    <xf numFmtId="0" fontId="0" fillId="0" borderId="67" xfId="0" applyNumberFormat="1" applyBorder="1" applyAlignment="1">
      <alignment horizontal="left" wrapText="1"/>
    </xf>
    <xf numFmtId="0" fontId="0" fillId="0" borderId="59" xfId="0" applyNumberFormat="1" applyBorder="1" applyAlignment="1">
      <alignment horizontal="left" wrapText="1"/>
    </xf>
    <xf numFmtId="0" fontId="0" fillId="0" borderId="3" xfId="0" applyNumberFormat="1" applyBorder="1" applyAlignment="1">
      <alignment horizontal="left" wrapText="1"/>
    </xf>
    <xf numFmtId="0" fontId="0" fillId="0" borderId="26" xfId="0" applyNumberFormat="1" applyBorder="1" applyAlignment="1">
      <alignment horizontal="left" wrapText="1"/>
    </xf>
    <xf numFmtId="0" fontId="3" fillId="0" borderId="28" xfId="0" applyNumberFormat="1" applyFont="1" applyBorder="1" applyAlignment="1">
      <alignment horizontal="left" vertical="center" wrapText="1" indent="2"/>
    </xf>
    <xf numFmtId="0" fontId="3" fillId="0" borderId="49" xfId="0" applyNumberFormat="1" applyFont="1" applyBorder="1" applyAlignment="1">
      <alignment horizontal="left" vertical="center" wrapText="1" indent="2"/>
    </xf>
    <xf numFmtId="0" fontId="13" fillId="0" borderId="17" xfId="0" applyNumberFormat="1" applyFont="1" applyBorder="1" applyAlignment="1">
      <alignment horizontal="left" vertical="center" wrapText="1"/>
    </xf>
    <xf numFmtId="0" fontId="0" fillId="0" borderId="0" xfId="0" applyNumberFormat="1" applyBorder="1" applyAlignment="1">
      <alignment horizontal="left" vertical="center" wrapText="1"/>
    </xf>
    <xf numFmtId="0" fontId="0" fillId="0" borderId="7" xfId="0" applyNumberFormat="1" applyBorder="1" applyAlignment="1">
      <alignment horizontal="left" vertical="center" wrapText="1"/>
    </xf>
    <xf numFmtId="0" fontId="0" fillId="0" borderId="58" xfId="0" applyNumberFormat="1" applyBorder="1" applyAlignment="1">
      <alignment horizontal="left" vertical="center" wrapText="1"/>
    </xf>
    <xf numFmtId="0" fontId="0" fillId="0" borderId="6" xfId="0" applyNumberFormat="1" applyBorder="1" applyAlignment="1">
      <alignment horizontal="left" vertical="center" wrapText="1"/>
    </xf>
    <xf numFmtId="0" fontId="0" fillId="0" borderId="22" xfId="0" applyNumberFormat="1" applyBorder="1" applyAlignment="1">
      <alignment horizontal="left" vertical="center" wrapText="1"/>
    </xf>
    <xf numFmtId="0" fontId="0" fillId="0" borderId="17" xfId="0" applyNumberFormat="1" applyBorder="1" applyAlignment="1">
      <alignment horizontal="left" vertical="center" wrapText="1"/>
    </xf>
    <xf numFmtId="0" fontId="0" fillId="0" borderId="19" xfId="0" applyBorder="1" applyAlignment="1" applyProtection="1">
      <alignment horizontal="left" vertical="top" wrapText="1"/>
    </xf>
    <xf numFmtId="0" fontId="0" fillId="0" borderId="20" xfId="0" applyBorder="1" applyAlignment="1" applyProtection="1">
      <alignment horizontal="left" vertical="top" wrapText="1"/>
    </xf>
    <xf numFmtId="176" fontId="34" fillId="10" borderId="13" xfId="0" applyNumberFormat="1" applyFont="1" applyFill="1" applyBorder="1" applyAlignment="1" applyProtection="1">
      <alignment horizontal="center" vertical="center" wrapText="1"/>
      <protection locked="0"/>
    </xf>
  </cellXfs>
  <cellStyles count="15">
    <cellStyle name="Comma" xfId="1" builtinId="3"/>
    <cellStyle name="Comma 2" xfId="2"/>
    <cellStyle name="Comma 3" xfId="3"/>
    <cellStyle name="Currency" xfId="4" builtinId="4"/>
    <cellStyle name="Currency 2" xfId="5"/>
    <cellStyle name="Currency 3" xfId="6"/>
    <cellStyle name="Hyperlink" xfId="7" builtinId="8"/>
    <cellStyle name="Normal" xfId="0" builtinId="0"/>
    <cellStyle name="Normal 2" xfId="8"/>
    <cellStyle name="Percent" xfId="9" builtinId="5"/>
    <cellStyle name="Percent 2" xfId="10"/>
    <cellStyle name="Percent 2 2" xfId="11"/>
    <cellStyle name="Percent 2 3" xfId="12"/>
    <cellStyle name="Percent 3" xfId="13"/>
    <cellStyle name="Percent 4" xfId="14"/>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ebsafe.kemainc.com/RASS2009/Default.aspx" TargetMode="External"/><Relationship Id="rId1" Type="http://schemas.openxmlformats.org/officeDocument/2006/relationships/hyperlink" Target="http://websafe.kemainc.com/RASS2009/Default.asp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B2" sqref="B2"/>
    </sheetView>
  </sheetViews>
  <sheetFormatPr defaultRowHeight="15" x14ac:dyDescent="0.25"/>
  <cols>
    <col min="1" max="1" width="7.5703125" customWidth="1"/>
    <col min="2" max="2" width="11.7109375" customWidth="1"/>
    <col min="3" max="3" width="23.85546875" customWidth="1"/>
    <col min="4" max="4" width="168" customWidth="1"/>
  </cols>
  <sheetData>
    <row r="1" spans="1:5" x14ac:dyDescent="0.25">
      <c r="A1" s="106"/>
      <c r="C1" s="106" t="s">
        <v>513</v>
      </c>
      <c r="D1" s="106" t="s">
        <v>431</v>
      </c>
    </row>
    <row r="2" spans="1:5" ht="30" x14ac:dyDescent="0.25">
      <c r="B2" s="172" t="s">
        <v>488</v>
      </c>
      <c r="C2" s="220" t="s">
        <v>512</v>
      </c>
      <c r="D2" s="183" t="s">
        <v>498</v>
      </c>
      <c r="E2" s="183"/>
    </row>
    <row r="3" spans="1:5" ht="127.5" customHeight="1" x14ac:dyDescent="0.25">
      <c r="B3" s="172" t="s">
        <v>489</v>
      </c>
      <c r="C3" s="220" t="s">
        <v>512</v>
      </c>
      <c r="D3" s="183" t="s">
        <v>518</v>
      </c>
    </row>
    <row r="4" spans="1:5" x14ac:dyDescent="0.25">
      <c r="B4" s="172" t="s">
        <v>489</v>
      </c>
      <c r="C4" s="218" t="s">
        <v>497</v>
      </c>
      <c r="D4" s="183" t="s">
        <v>481</v>
      </c>
    </row>
    <row r="5" spans="1:5" ht="17.45" customHeight="1" x14ac:dyDescent="0.25">
      <c r="B5" s="172" t="s">
        <v>489</v>
      </c>
      <c r="C5" s="220" t="s">
        <v>512</v>
      </c>
      <c r="D5" s="183" t="s">
        <v>444</v>
      </c>
    </row>
    <row r="6" spans="1:5" ht="72.75" customHeight="1" x14ac:dyDescent="0.25">
      <c r="B6" s="172" t="s">
        <v>489</v>
      </c>
      <c r="C6" s="220" t="s">
        <v>512</v>
      </c>
      <c r="D6" s="183" t="s">
        <v>520</v>
      </c>
    </row>
    <row r="7" spans="1:5" x14ac:dyDescent="0.25">
      <c r="B7" s="172" t="s">
        <v>496</v>
      </c>
      <c r="C7" s="220" t="s">
        <v>512</v>
      </c>
      <c r="D7" s="183" t="s">
        <v>521</v>
      </c>
    </row>
    <row r="8" spans="1:5" x14ac:dyDescent="0.25">
      <c r="B8" s="172"/>
      <c r="C8" s="172"/>
      <c r="D8" s="183"/>
    </row>
    <row r="9" spans="1:5" x14ac:dyDescent="0.25">
      <c r="B9" s="172"/>
      <c r="C9" s="172"/>
      <c r="D9" s="183"/>
    </row>
    <row r="10" spans="1:5" x14ac:dyDescent="0.25">
      <c r="B10" s="172"/>
      <c r="C10" s="172"/>
      <c r="D10" s="18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59"/>
  <sheetViews>
    <sheetView zoomScaleNormal="100" workbookViewId="0">
      <selection activeCell="B3" sqref="B3"/>
    </sheetView>
  </sheetViews>
  <sheetFormatPr defaultColWidth="9.140625" defaultRowHeight="15" x14ac:dyDescent="0.25"/>
  <cols>
    <col min="1" max="1" width="1.7109375" style="233" customWidth="1"/>
    <col min="2" max="2" width="23.85546875" style="233" customWidth="1"/>
    <col min="3" max="3" width="15.7109375" style="233" customWidth="1"/>
    <col min="4" max="4" width="16.7109375" style="233" customWidth="1"/>
    <col min="5" max="5" width="13.140625" style="233" customWidth="1"/>
    <col min="6" max="6" width="14" style="233" customWidth="1"/>
    <col min="7" max="7" width="16.7109375" style="233" customWidth="1"/>
    <col min="8" max="8" width="15.7109375" style="233" customWidth="1"/>
    <col min="9" max="9" width="16.5703125" style="233" customWidth="1"/>
    <col min="10" max="10" width="15.7109375" style="233" customWidth="1"/>
    <col min="11" max="11" width="18.7109375" style="233" customWidth="1"/>
    <col min="12" max="16" width="15.7109375" style="233" customWidth="1"/>
    <col min="17" max="16384" width="9.140625" style="233"/>
  </cols>
  <sheetData>
    <row r="1" spans="2:15" ht="26.25" x14ac:dyDescent="0.25">
      <c r="B1" s="706" t="s">
        <v>604</v>
      </c>
      <c r="C1" s="706"/>
      <c r="D1" s="706"/>
      <c r="E1" s="706"/>
      <c r="F1" s="706"/>
      <c r="G1" s="706"/>
      <c r="H1" s="706"/>
      <c r="I1" s="706"/>
      <c r="J1" s="706"/>
    </row>
    <row r="2" spans="2:15" ht="13.9" customHeight="1" x14ac:dyDescent="0.25">
      <c r="B2" s="492"/>
      <c r="C2" s="492"/>
      <c r="D2" s="492"/>
      <c r="E2" s="492"/>
      <c r="F2" s="492"/>
      <c r="G2" s="492"/>
      <c r="H2" s="492"/>
      <c r="I2" s="492"/>
      <c r="J2" s="492"/>
    </row>
    <row r="3" spans="2:15" ht="15" customHeight="1" thickBot="1" x14ac:dyDescent="0.3">
      <c r="B3" s="336">
        <v>41613</v>
      </c>
      <c r="C3" s="235" t="s">
        <v>412</v>
      </c>
    </row>
    <row r="4" spans="2:15" ht="20.45" customHeight="1" x14ac:dyDescent="0.3">
      <c r="B4" s="236" t="s">
        <v>15</v>
      </c>
      <c r="C4" s="724" t="s">
        <v>583</v>
      </c>
      <c r="D4" s="725"/>
      <c r="E4" s="725"/>
      <c r="F4" s="725"/>
      <c r="G4" s="725"/>
      <c r="H4" s="725"/>
      <c r="I4" s="725"/>
      <c r="J4" s="656"/>
      <c r="K4" s="657"/>
    </row>
    <row r="5" spans="2:15" x14ac:dyDescent="0.25">
      <c r="B5" s="237" t="s">
        <v>0</v>
      </c>
      <c r="C5" s="786" t="s">
        <v>1</v>
      </c>
      <c r="D5" s="787"/>
      <c r="E5" s="787"/>
      <c r="F5" s="787"/>
      <c r="G5" s="787"/>
      <c r="H5" s="787"/>
      <c r="I5" s="787"/>
      <c r="J5" s="787"/>
      <c r="K5" s="788"/>
    </row>
    <row r="6" spans="2:15" ht="28.15" customHeight="1" thickBot="1" x14ac:dyDescent="0.3">
      <c r="B6" s="238" t="s">
        <v>13</v>
      </c>
      <c r="C6" s="800" t="s">
        <v>608</v>
      </c>
      <c r="D6" s="801"/>
      <c r="E6" s="801"/>
      <c r="F6" s="801"/>
      <c r="G6" s="801"/>
      <c r="H6" s="801"/>
      <c r="I6" s="801"/>
      <c r="J6" s="801"/>
      <c r="K6" s="802"/>
      <c r="L6" s="300"/>
    </row>
    <row r="7" spans="2:15" ht="20.45" customHeight="1" x14ac:dyDescent="0.25">
      <c r="B7" s="803" t="s">
        <v>554</v>
      </c>
      <c r="C7" s="240" t="s">
        <v>414</v>
      </c>
      <c r="D7" s="240" t="s">
        <v>413</v>
      </c>
      <c r="E7" s="717" t="s">
        <v>421</v>
      </c>
      <c r="F7" s="718"/>
      <c r="G7" s="718"/>
      <c r="H7" s="718"/>
      <c r="I7" s="718"/>
      <c r="J7" s="718"/>
      <c r="K7" s="719"/>
    </row>
    <row r="8" spans="2:15" ht="28.5" customHeight="1" x14ac:dyDescent="0.25">
      <c r="B8" s="804"/>
      <c r="C8" s="228" t="s">
        <v>442</v>
      </c>
      <c r="D8" s="370">
        <v>2015</v>
      </c>
      <c r="E8" s="710" t="s">
        <v>605</v>
      </c>
      <c r="F8" s="711"/>
      <c r="G8" s="711"/>
      <c r="H8" s="711"/>
      <c r="I8" s="711"/>
      <c r="J8" s="711"/>
      <c r="K8" s="712"/>
    </row>
    <row r="9" spans="2:15" ht="27" customHeight="1" x14ac:dyDescent="0.25">
      <c r="B9" s="804"/>
      <c r="C9" s="228" t="s">
        <v>442</v>
      </c>
      <c r="D9" s="241">
        <v>2015</v>
      </c>
      <c r="E9" s="596" t="s">
        <v>606</v>
      </c>
      <c r="F9" s="720"/>
      <c r="G9" s="720"/>
      <c r="H9" s="720"/>
      <c r="I9" s="720"/>
      <c r="J9" s="720"/>
      <c r="K9" s="721"/>
    </row>
    <row r="10" spans="2:15" ht="27" customHeight="1" thickBot="1" x14ac:dyDescent="0.3">
      <c r="B10" s="805"/>
      <c r="C10" s="232" t="s">
        <v>442</v>
      </c>
      <c r="D10" s="242">
        <v>2015</v>
      </c>
      <c r="E10" s="599" t="s">
        <v>607</v>
      </c>
      <c r="F10" s="722"/>
      <c r="G10" s="722"/>
      <c r="H10" s="722"/>
      <c r="I10" s="722"/>
      <c r="J10" s="722"/>
      <c r="K10" s="723"/>
    </row>
    <row r="11" spans="2:15" ht="15" customHeight="1" x14ac:dyDescent="0.25">
      <c r="C11" s="33"/>
      <c r="E11" s="493"/>
      <c r="F11" s="202"/>
      <c r="G11" s="493"/>
      <c r="H11" s="255"/>
      <c r="I11" s="255"/>
      <c r="J11" s="255"/>
      <c r="K11" s="255"/>
      <c r="L11" s="255"/>
      <c r="M11" s="255"/>
      <c r="N11" s="255"/>
      <c r="O11" s="255"/>
    </row>
    <row r="12" spans="2:15" ht="15" customHeight="1" x14ac:dyDescent="0.25">
      <c r="B12" t="s">
        <v>596</v>
      </c>
      <c r="C12" s="33"/>
      <c r="E12" s="493"/>
      <c r="F12" s="202"/>
      <c r="G12" s="493"/>
      <c r="H12" s="255"/>
      <c r="I12" s="255"/>
      <c r="J12" s="255"/>
      <c r="K12" s="255"/>
      <c r="L12" s="255"/>
      <c r="M12" s="255"/>
      <c r="N12" s="255"/>
      <c r="O12" s="255"/>
    </row>
    <row r="13" spans="2:15" ht="15" customHeight="1" x14ac:dyDescent="0.25">
      <c r="B13" s="490" t="s">
        <v>597</v>
      </c>
      <c r="C13" s="33"/>
      <c r="E13" s="493"/>
      <c r="F13" s="202"/>
      <c r="G13" s="493"/>
      <c r="H13" s="255"/>
      <c r="I13" s="255"/>
      <c r="J13" s="255"/>
      <c r="K13" s="255"/>
      <c r="L13" s="255"/>
      <c r="M13" s="255"/>
      <c r="N13" s="255"/>
      <c r="O13" s="255"/>
    </row>
    <row r="14" spans="2:15" ht="15" customHeight="1" x14ac:dyDescent="0.25">
      <c r="B14" s="490" t="s">
        <v>598</v>
      </c>
      <c r="C14" s="33"/>
      <c r="E14" s="493"/>
      <c r="F14" s="202"/>
      <c r="G14" s="493"/>
      <c r="H14" s="255"/>
      <c r="I14" s="255"/>
      <c r="J14" s="255"/>
      <c r="K14" s="255"/>
      <c r="L14" s="255"/>
      <c r="M14" s="255"/>
      <c r="N14" s="255"/>
      <c r="O14" s="255"/>
    </row>
    <row r="15" spans="2:15" ht="15" customHeight="1" x14ac:dyDescent="0.25">
      <c r="C15" s="33"/>
      <c r="E15" s="493"/>
      <c r="F15" s="202"/>
      <c r="G15" s="493"/>
      <c r="H15" s="255"/>
      <c r="I15" s="255"/>
      <c r="J15" s="255"/>
      <c r="K15" s="255"/>
      <c r="L15" s="255"/>
      <c r="M15" s="255"/>
      <c r="N15" s="255"/>
      <c r="O15" s="255"/>
    </row>
    <row r="16" spans="2:15" ht="16.5" thickBot="1" x14ac:dyDescent="0.3">
      <c r="B16" s="713" t="s">
        <v>26</v>
      </c>
      <c r="C16" s="713"/>
      <c r="D16" s="713"/>
      <c r="E16" s="493"/>
      <c r="F16" s="493"/>
      <c r="G16" s="493"/>
      <c r="H16" s="255"/>
      <c r="I16" s="255"/>
      <c r="J16" s="255"/>
      <c r="K16" s="255"/>
      <c r="L16" s="255"/>
      <c r="M16" s="255"/>
      <c r="N16" s="255"/>
      <c r="O16" s="255"/>
    </row>
    <row r="17" spans="1:27" ht="15" customHeight="1" x14ac:dyDescent="0.25">
      <c r="B17" s="783" t="s">
        <v>27</v>
      </c>
      <c r="C17" s="784"/>
      <c r="D17" s="785"/>
      <c r="E17" s="360" t="s">
        <v>28</v>
      </c>
      <c r="F17" s="360" t="s">
        <v>29</v>
      </c>
      <c r="G17" s="360" t="s">
        <v>30</v>
      </c>
      <c r="H17" s="762" t="s">
        <v>395</v>
      </c>
      <c r="I17" s="763"/>
      <c r="J17" s="763"/>
      <c r="K17" s="764"/>
    </row>
    <row r="18" spans="1:27" ht="17.25" customHeight="1" x14ac:dyDescent="0.25">
      <c r="A18" s="274"/>
      <c r="B18" s="551" t="s">
        <v>586</v>
      </c>
      <c r="C18" s="551"/>
      <c r="D18" s="552"/>
      <c r="E18" s="206">
        <v>4</v>
      </c>
      <c r="F18" s="30" t="s">
        <v>587</v>
      </c>
      <c r="G18" s="15" t="s">
        <v>588</v>
      </c>
      <c r="H18" s="731"/>
      <c r="I18" s="731"/>
      <c r="J18" s="731"/>
      <c r="K18" s="732"/>
    </row>
    <row r="19" spans="1:27" ht="27.6" customHeight="1" x14ac:dyDescent="0.35">
      <c r="A19" s="274"/>
      <c r="B19" s="551" t="s">
        <v>589</v>
      </c>
      <c r="C19" s="551"/>
      <c r="D19" s="552"/>
      <c r="E19" s="86">
        <v>0</v>
      </c>
      <c r="F19" s="30" t="s">
        <v>590</v>
      </c>
      <c r="G19" s="14" t="s">
        <v>591</v>
      </c>
      <c r="H19" s="733" t="s">
        <v>616</v>
      </c>
      <c r="I19" s="731"/>
      <c r="J19" s="731"/>
      <c r="K19" s="732"/>
      <c r="L19" s="494"/>
      <c r="M19" s="494"/>
      <c r="N19" s="494"/>
      <c r="O19" s="494"/>
      <c r="P19" s="494"/>
    </row>
    <row r="20" spans="1:27" ht="14.45" customHeight="1" x14ac:dyDescent="0.3">
      <c r="A20" s="274"/>
      <c r="B20" s="551" t="s">
        <v>592</v>
      </c>
      <c r="C20" s="551"/>
      <c r="D20" s="552"/>
      <c r="E20" s="206">
        <v>1380</v>
      </c>
      <c r="F20" s="37" t="s">
        <v>593</v>
      </c>
      <c r="G20" s="15" t="s">
        <v>594</v>
      </c>
      <c r="H20" s="733"/>
      <c r="I20" s="733"/>
      <c r="J20" s="733"/>
      <c r="K20" s="734"/>
      <c r="L20" s="294"/>
      <c r="M20" s="294"/>
      <c r="N20" s="294"/>
      <c r="O20" s="294"/>
      <c r="P20" s="294"/>
      <c r="Q20" s="294"/>
      <c r="R20" s="493"/>
      <c r="S20" s="493"/>
      <c r="T20" s="493"/>
      <c r="U20" s="493"/>
      <c r="V20" s="493"/>
      <c r="W20" s="493"/>
      <c r="X20" s="493"/>
      <c r="Y20" s="493"/>
      <c r="Z20" s="493"/>
      <c r="AA20" s="493"/>
    </row>
    <row r="21" spans="1:27" ht="16.149999999999999" customHeight="1" x14ac:dyDescent="0.25">
      <c r="A21" s="274"/>
      <c r="B21" s="551" t="s">
        <v>595</v>
      </c>
      <c r="C21" s="551"/>
      <c r="D21" s="552"/>
      <c r="E21" s="495">
        <v>0.8</v>
      </c>
      <c r="F21" s="37"/>
      <c r="G21" s="15" t="s">
        <v>106</v>
      </c>
      <c r="H21" s="731"/>
      <c r="I21" s="731"/>
      <c r="J21" s="731"/>
      <c r="K21" s="732"/>
      <c r="L21" s="294"/>
      <c r="M21" s="294"/>
      <c r="N21" s="294"/>
      <c r="O21" s="294"/>
      <c r="P21" s="294"/>
      <c r="Q21" s="294"/>
      <c r="R21" s="493"/>
      <c r="S21" s="493"/>
      <c r="T21" s="493"/>
      <c r="U21" s="493"/>
      <c r="V21" s="493"/>
      <c r="W21" s="493"/>
      <c r="X21" s="493"/>
      <c r="Y21" s="493"/>
      <c r="Z21" s="493"/>
      <c r="AA21" s="493"/>
    </row>
    <row r="22" spans="1:27" ht="16.149999999999999" customHeight="1" x14ac:dyDescent="0.25">
      <c r="A22" s="274"/>
      <c r="B22" s="551" t="s">
        <v>98</v>
      </c>
      <c r="C22" s="551"/>
      <c r="D22" s="552"/>
      <c r="E22" s="500">
        <v>0.31</v>
      </c>
      <c r="F22" s="37" t="s">
        <v>37</v>
      </c>
      <c r="G22" s="15" t="s">
        <v>40</v>
      </c>
      <c r="H22" s="731"/>
      <c r="I22" s="731"/>
      <c r="J22" s="731"/>
      <c r="K22" s="732"/>
      <c r="L22" s="294"/>
      <c r="M22" s="294"/>
      <c r="N22" s="294"/>
      <c r="O22" s="294"/>
      <c r="P22" s="294"/>
      <c r="Q22" s="294"/>
      <c r="R22" s="493"/>
      <c r="S22" s="493"/>
      <c r="T22" s="493"/>
      <c r="U22" s="493"/>
      <c r="V22" s="493"/>
      <c r="W22" s="493"/>
      <c r="X22" s="493"/>
      <c r="Y22" s="493"/>
      <c r="Z22" s="493"/>
      <c r="AA22" s="493"/>
    </row>
    <row r="23" spans="1:27" ht="16.149999999999999" customHeight="1" thickBot="1" x14ac:dyDescent="0.35">
      <c r="A23" s="274"/>
      <c r="B23" s="809" t="s">
        <v>124</v>
      </c>
      <c r="C23" s="809"/>
      <c r="D23" s="810"/>
      <c r="E23" s="499">
        <v>0.88</v>
      </c>
      <c r="F23" s="466"/>
      <c r="G23" s="467" t="s">
        <v>125</v>
      </c>
      <c r="H23" s="752"/>
      <c r="I23" s="752"/>
      <c r="J23" s="752"/>
      <c r="K23" s="753"/>
      <c r="L23" s="294"/>
      <c r="M23" s="294"/>
      <c r="N23" s="294"/>
      <c r="O23" s="294"/>
      <c r="P23" s="294"/>
      <c r="Q23" s="294"/>
      <c r="R23" s="493"/>
      <c r="S23" s="493"/>
      <c r="T23" s="493"/>
      <c r="U23" s="493"/>
      <c r="V23" s="493"/>
      <c r="W23" s="493"/>
      <c r="X23" s="493"/>
      <c r="Y23" s="493"/>
      <c r="Z23" s="493"/>
      <c r="AA23" s="493"/>
    </row>
    <row r="24" spans="1:27" ht="30" customHeight="1" thickBot="1" x14ac:dyDescent="0.35">
      <c r="B24" s="262"/>
      <c r="C24" s="493"/>
      <c r="D24" s="493"/>
      <c r="E24" s="493"/>
      <c r="F24" s="493"/>
      <c r="G24" s="493"/>
      <c r="H24" s="493"/>
      <c r="I24" s="493"/>
      <c r="J24" s="493"/>
      <c r="K24" s="493"/>
    </row>
    <row r="25" spans="1:27" ht="16.5" customHeight="1" x14ac:dyDescent="0.3">
      <c r="B25" s="747" t="s">
        <v>25</v>
      </c>
      <c r="C25" s="748"/>
      <c r="D25" s="748"/>
      <c r="E25" s="748"/>
      <c r="F25" s="748"/>
      <c r="G25" s="748"/>
      <c r="H25" s="748"/>
      <c r="I25" s="748"/>
      <c r="J25" s="748"/>
      <c r="K25" s="749"/>
    </row>
    <row r="26" spans="1:27" ht="18.75" customHeight="1" x14ac:dyDescent="0.3">
      <c r="A26" s="274"/>
      <c r="B26" s="569" t="s">
        <v>48</v>
      </c>
      <c r="C26" s="569"/>
      <c r="D26" s="569"/>
      <c r="E26" s="569"/>
      <c r="F26" s="569"/>
      <c r="G26" s="569"/>
      <c r="H26" s="569"/>
      <c r="I26" s="569"/>
      <c r="J26" s="569"/>
      <c r="K26" s="570"/>
    </row>
    <row r="27" spans="1:27" ht="18.75" customHeight="1" thickBot="1" x14ac:dyDescent="0.35">
      <c r="A27" s="274"/>
      <c r="B27" s="614" t="s">
        <v>599</v>
      </c>
      <c r="C27" s="615"/>
      <c r="D27" s="615"/>
      <c r="E27" s="615"/>
      <c r="F27" s="615"/>
      <c r="G27" s="615"/>
      <c r="H27" s="615"/>
      <c r="I27" s="615"/>
      <c r="J27" s="615"/>
      <c r="K27" s="616"/>
    </row>
    <row r="28" spans="1:27" ht="30" customHeight="1" x14ac:dyDescent="0.3"/>
    <row r="29" spans="1:27" ht="15" customHeight="1" thickBot="1" x14ac:dyDescent="0.35">
      <c r="B29" s="33"/>
      <c r="C29" s="264"/>
      <c r="D29" s="264"/>
      <c r="E29" s="264"/>
      <c r="F29" s="264"/>
      <c r="G29" s="264"/>
      <c r="H29" s="493"/>
      <c r="I29" s="493"/>
      <c r="J29" s="493"/>
      <c r="K29" s="493"/>
    </row>
    <row r="30" spans="1:27" ht="36" customHeight="1" thickBot="1" x14ac:dyDescent="0.35">
      <c r="B30" s="365" t="s">
        <v>22</v>
      </c>
      <c r="C30" s="811" t="s">
        <v>600</v>
      </c>
      <c r="D30" s="812"/>
      <c r="E30" s="812"/>
      <c r="F30" s="812"/>
      <c r="G30" s="813"/>
      <c r="H30" s="496"/>
      <c r="I30" s="496"/>
      <c r="J30" s="496"/>
      <c r="K30" s="496"/>
      <c r="L30" s="493"/>
    </row>
    <row r="31" spans="1:27" ht="45" customHeight="1" thickBot="1" x14ac:dyDescent="0.3">
      <c r="B31" s="265"/>
      <c r="C31" s="672" t="s">
        <v>23</v>
      </c>
      <c r="D31" s="673"/>
      <c r="E31" s="326">
        <f>E18*E19*E20*E21*E23</f>
        <v>0</v>
      </c>
      <c r="F31" s="388" t="s">
        <v>55</v>
      </c>
      <c r="G31" s="501"/>
      <c r="H31" s="686"/>
      <c r="I31" s="686"/>
      <c r="J31" s="498"/>
      <c r="K31" s="491"/>
    </row>
    <row r="32" spans="1:27" ht="15" hidden="1" customHeight="1" thickBot="1" x14ac:dyDescent="0.25">
      <c r="C32" s="493"/>
      <c r="D32" s="493"/>
    </row>
    <row r="33" spans="1:14" ht="14.45" hidden="1" customHeight="1" x14ac:dyDescent="0.25"/>
    <row r="34" spans="1:14" ht="14.45" hidden="1" customHeight="1" x14ac:dyDescent="0.25">
      <c r="B34" s="365" t="s">
        <v>35</v>
      </c>
      <c r="C34" s="768" t="s">
        <v>470</v>
      </c>
      <c r="D34" s="795"/>
      <c r="E34" s="795"/>
      <c r="F34" s="795"/>
      <c r="G34" s="795"/>
      <c r="H34" s="795"/>
      <c r="I34" s="795"/>
      <c r="J34" s="796"/>
      <c r="K34" s="493"/>
      <c r="N34" s="310"/>
    </row>
    <row r="35" spans="1:14" ht="15.75" hidden="1" customHeight="1" x14ac:dyDescent="0.25">
      <c r="B35" s="274"/>
      <c r="C35" s="275" t="s">
        <v>21</v>
      </c>
      <c r="D35" s="666" t="s">
        <v>8</v>
      </c>
      <c r="E35" s="682"/>
      <c r="F35" s="682"/>
      <c r="G35" s="682"/>
      <c r="H35" s="682"/>
      <c r="I35" s="682"/>
      <c r="J35" s="683"/>
      <c r="K35" s="493"/>
      <c r="N35" s="310"/>
    </row>
    <row r="36" spans="1:14" ht="15" hidden="1" customHeight="1" x14ac:dyDescent="0.25">
      <c r="B36" s="274"/>
      <c r="C36" s="367" t="s">
        <v>9</v>
      </c>
      <c r="D36" s="666" t="s">
        <v>10</v>
      </c>
      <c r="E36" s="666"/>
      <c r="F36" s="666"/>
      <c r="G36" s="666"/>
      <c r="H36" s="666"/>
      <c r="I36" s="666"/>
      <c r="J36" s="667"/>
      <c r="K36" s="493"/>
    </row>
    <row r="37" spans="1:14" ht="14.45" hidden="1" customHeight="1" x14ac:dyDescent="0.25">
      <c r="B37" s="274"/>
      <c r="C37" s="374">
        <v>1000</v>
      </c>
      <c r="D37" s="668" t="s">
        <v>11</v>
      </c>
      <c r="E37" s="669"/>
      <c r="F37" s="669"/>
      <c r="G37" s="669"/>
      <c r="H37" s="669"/>
      <c r="I37" s="669"/>
      <c r="J37" s="670"/>
      <c r="K37" s="493"/>
    </row>
    <row r="38" spans="1:14" ht="15" hidden="1" customHeight="1" x14ac:dyDescent="0.25">
      <c r="B38" s="274"/>
      <c r="C38" s="369">
        <v>10</v>
      </c>
      <c r="D38" s="671" t="s">
        <v>12</v>
      </c>
      <c r="E38" s="669"/>
      <c r="F38" s="669"/>
      <c r="G38" s="669"/>
      <c r="H38" s="669"/>
      <c r="I38" s="669"/>
      <c r="J38" s="670"/>
      <c r="K38" s="493"/>
    </row>
    <row r="39" spans="1:14" ht="14.45" hidden="1" customHeight="1" x14ac:dyDescent="0.25">
      <c r="B39" s="274"/>
      <c r="C39" s="374">
        <v>1E-3</v>
      </c>
      <c r="D39" s="668" t="s">
        <v>311</v>
      </c>
      <c r="E39" s="669"/>
      <c r="F39" s="669"/>
      <c r="G39" s="669"/>
      <c r="H39" s="669"/>
      <c r="I39" s="669"/>
      <c r="J39" s="670"/>
      <c r="K39" s="493"/>
    </row>
    <row r="40" spans="1:14" ht="14.45" hidden="1" customHeight="1" x14ac:dyDescent="0.25">
      <c r="B40" s="274"/>
      <c r="C40" s="367" t="s">
        <v>307</v>
      </c>
      <c r="D40" s="668" t="s">
        <v>471</v>
      </c>
      <c r="E40" s="669"/>
      <c r="F40" s="669"/>
      <c r="G40" s="669"/>
      <c r="H40" s="669"/>
      <c r="I40" s="669"/>
      <c r="J40" s="670"/>
      <c r="K40" s="493"/>
    </row>
    <row r="41" spans="1:14" ht="14.45" hidden="1" customHeight="1" x14ac:dyDescent="0.25">
      <c r="B41" s="274"/>
      <c r="C41" s="672" t="s">
        <v>468</v>
      </c>
      <c r="D41" s="673"/>
      <c r="E41" s="299" t="e">
        <f>((J31)/1000*#REF!)+((#REF!)/10 * (#REF!/1000))+(#REF!/1000)</f>
        <v>#REF!</v>
      </c>
      <c r="F41" s="277" t="s">
        <v>72</v>
      </c>
      <c r="G41" s="277"/>
      <c r="H41" s="277"/>
      <c r="I41" s="277"/>
      <c r="J41" s="278"/>
      <c r="K41" s="255"/>
    </row>
    <row r="42" spans="1:14" ht="14.45" hidden="1" customHeight="1" x14ac:dyDescent="0.25">
      <c r="C42" s="493"/>
      <c r="D42" s="493"/>
      <c r="E42" s="493"/>
      <c r="F42" s="493"/>
      <c r="G42" s="493"/>
      <c r="H42" s="493"/>
      <c r="I42" s="493"/>
      <c r="J42" s="493"/>
      <c r="K42" s="493"/>
    </row>
    <row r="43" spans="1:14" ht="15.6" hidden="1" customHeight="1" x14ac:dyDescent="0.25">
      <c r="C43" s="493"/>
      <c r="D43" s="493"/>
      <c r="E43" s="493"/>
      <c r="F43" s="493"/>
      <c r="G43" s="493"/>
      <c r="H43" s="493"/>
      <c r="I43" s="493"/>
      <c r="J43" s="493"/>
      <c r="K43" s="493"/>
    </row>
    <row r="44" spans="1:14" ht="14.45" hidden="1" customHeight="1" x14ac:dyDescent="0.25">
      <c r="A44" s="493"/>
      <c r="B44" s="279"/>
      <c r="C44" s="279"/>
      <c r="D44" s="279"/>
      <c r="E44" s="279"/>
      <c r="F44" s="279"/>
      <c r="G44" s="279"/>
      <c r="H44" s="279"/>
      <c r="I44" s="279"/>
      <c r="J44" s="279"/>
      <c r="K44" s="279"/>
    </row>
    <row r="45" spans="1:14" ht="14.45" hidden="1" customHeight="1" x14ac:dyDescent="0.25">
      <c r="A45" s="493"/>
      <c r="C45" s="493"/>
      <c r="D45" s="493"/>
      <c r="E45" s="493"/>
      <c r="F45" s="493"/>
      <c r="G45" s="493"/>
      <c r="H45" s="493"/>
      <c r="I45" s="493"/>
      <c r="J45" s="493"/>
      <c r="K45" s="493"/>
    </row>
    <row r="46" spans="1:14" ht="14.45" hidden="1" customHeight="1" x14ac:dyDescent="0.25">
      <c r="C46" s="493"/>
      <c r="D46" s="493"/>
      <c r="E46" s="493"/>
      <c r="F46" s="493"/>
      <c r="G46" s="493"/>
      <c r="H46" s="493"/>
      <c r="I46" s="493"/>
      <c r="J46" s="493"/>
      <c r="K46" s="493"/>
    </row>
    <row r="47" spans="1:14" ht="14.45" hidden="1" customHeight="1" x14ac:dyDescent="0.25">
      <c r="B47" s="674" t="s">
        <v>14</v>
      </c>
      <c r="C47" s="675"/>
      <c r="D47" s="675"/>
      <c r="E47" s="244"/>
      <c r="F47" s="244"/>
      <c r="G47" s="245"/>
      <c r="H47" s="493"/>
      <c r="I47" s="493"/>
      <c r="J47" s="493"/>
      <c r="K47" s="493"/>
    </row>
    <row r="48" spans="1:14" ht="14.45" hidden="1" customHeight="1" x14ac:dyDescent="0.25">
      <c r="B48" s="280" t="s">
        <v>27</v>
      </c>
      <c r="C48" s="281"/>
      <c r="D48" s="281"/>
      <c r="E48" s="247" t="s">
        <v>28</v>
      </c>
      <c r="F48" s="248" t="s">
        <v>29</v>
      </c>
      <c r="G48" s="249" t="s">
        <v>30</v>
      </c>
      <c r="H48" s="493"/>
      <c r="I48" s="493"/>
      <c r="J48" s="493"/>
      <c r="K48" s="493"/>
    </row>
    <row r="49" spans="2:14" ht="15.75" hidden="1" customHeight="1" thickBot="1" x14ac:dyDescent="0.3">
      <c r="B49" s="676" t="s">
        <v>91</v>
      </c>
      <c r="C49" s="677"/>
      <c r="D49" s="678"/>
      <c r="E49" s="282">
        <v>20.22</v>
      </c>
      <c r="F49" s="251"/>
      <c r="G49" s="284"/>
      <c r="H49" s="493"/>
      <c r="I49" s="493"/>
      <c r="J49" s="493"/>
      <c r="K49" s="493"/>
    </row>
    <row r="50" spans="2:14" ht="14.45" hidden="1" customHeight="1" x14ac:dyDescent="0.25">
      <c r="B50" s="676" t="s">
        <v>92</v>
      </c>
      <c r="C50" s="677"/>
      <c r="D50" s="678"/>
      <c r="E50" s="282">
        <v>40768</v>
      </c>
      <c r="F50" s="251"/>
      <c r="G50" s="284"/>
      <c r="H50" s="493"/>
      <c r="I50" s="493"/>
      <c r="J50" s="493"/>
      <c r="K50" s="493"/>
    </row>
    <row r="51" spans="2:14" ht="14.45" hidden="1" customHeight="1" x14ac:dyDescent="0.25">
      <c r="B51" s="676" t="s">
        <v>93</v>
      </c>
      <c r="C51" s="677"/>
      <c r="D51" s="678"/>
      <c r="E51" s="285">
        <v>0.1</v>
      </c>
      <c r="F51" s="251"/>
      <c r="G51" s="284"/>
      <c r="H51" s="493"/>
      <c r="I51" s="493"/>
      <c r="J51" s="493"/>
      <c r="K51" s="493"/>
    </row>
    <row r="52" spans="2:14" ht="15" hidden="1" customHeight="1" thickBot="1" x14ac:dyDescent="0.3">
      <c r="B52" s="676" t="s">
        <v>94</v>
      </c>
      <c r="C52" s="677"/>
      <c r="D52" s="678"/>
      <c r="E52" s="285">
        <v>0.25</v>
      </c>
      <c r="F52" s="251"/>
      <c r="G52" s="283"/>
      <c r="H52" s="493"/>
      <c r="I52" s="493"/>
      <c r="J52" s="493"/>
      <c r="K52" s="493"/>
    </row>
    <row r="53" spans="2:14" ht="14.45" hidden="1" customHeight="1" x14ac:dyDescent="0.25">
      <c r="G53" s="286"/>
    </row>
    <row r="54" spans="2:14" x14ac:dyDescent="0.25">
      <c r="B54" s="493"/>
      <c r="C54" s="493"/>
      <c r="D54" s="493"/>
      <c r="E54" s="493"/>
      <c r="F54" s="493"/>
      <c r="G54" s="493"/>
      <c r="H54" s="493"/>
      <c r="I54" s="493"/>
      <c r="J54" s="493"/>
      <c r="K54" s="493"/>
    </row>
    <row r="55" spans="2:14" ht="15.75" thickBot="1" x14ac:dyDescent="0.3"/>
    <row r="56" spans="2:14" ht="30" customHeight="1" x14ac:dyDescent="0.25">
      <c r="B56" s="365" t="s">
        <v>35</v>
      </c>
      <c r="C56" s="768" t="s">
        <v>601</v>
      </c>
      <c r="D56" s="795"/>
      <c r="E56" s="795"/>
      <c r="F56" s="795"/>
      <c r="G56" s="795"/>
      <c r="H56" s="795"/>
      <c r="I56" s="795"/>
      <c r="J56" s="796"/>
      <c r="K56" s="493"/>
      <c r="N56" s="310"/>
    </row>
    <row r="57" spans="2:14" ht="15" customHeight="1" x14ac:dyDescent="0.25">
      <c r="B57" s="274"/>
      <c r="C57" s="20" t="s">
        <v>21</v>
      </c>
      <c r="D57" s="627" t="s">
        <v>8</v>
      </c>
      <c r="E57" s="745"/>
      <c r="F57" s="745"/>
      <c r="G57" s="745"/>
      <c r="H57" s="745"/>
      <c r="I57" s="745"/>
      <c r="J57" s="746"/>
      <c r="K57" s="493"/>
      <c r="N57" s="310"/>
    </row>
    <row r="58" spans="2:14" ht="15" customHeight="1" thickBot="1" x14ac:dyDescent="0.3">
      <c r="B58" s="274"/>
      <c r="C58" s="350">
        <v>1000</v>
      </c>
      <c r="D58" s="806" t="s">
        <v>11</v>
      </c>
      <c r="E58" s="807"/>
      <c r="F58" s="807"/>
      <c r="G58" s="807"/>
      <c r="H58" s="807"/>
      <c r="I58" s="807"/>
      <c r="J58" s="808"/>
      <c r="K58" s="493"/>
    </row>
    <row r="59" spans="2:14" ht="45" customHeight="1" thickBot="1" x14ac:dyDescent="0.3">
      <c r="B59" s="274"/>
      <c r="C59" s="610" t="s">
        <v>20</v>
      </c>
      <c r="D59" s="611"/>
      <c r="E59" s="51">
        <f>E31/C58*E22</f>
        <v>0</v>
      </c>
      <c r="F59" s="35" t="s">
        <v>72</v>
      </c>
      <c r="G59" s="35"/>
      <c r="H59" s="35"/>
      <c r="I59" s="35"/>
      <c r="J59" s="36"/>
      <c r="K59" s="40"/>
    </row>
  </sheetData>
  <sheetProtection password="DCA2" sheet="1" objects="1" scenarios="1"/>
  <mergeCells count="47">
    <mergeCell ref="D39:J39"/>
    <mergeCell ref="D40:J40"/>
    <mergeCell ref="C41:D41"/>
    <mergeCell ref="B47:D47"/>
    <mergeCell ref="B1:J1"/>
    <mergeCell ref="C4:K4"/>
    <mergeCell ref="B16:D16"/>
    <mergeCell ref="B17:D17"/>
    <mergeCell ref="B18:D18"/>
    <mergeCell ref="H17:K17"/>
    <mergeCell ref="H18:K18"/>
    <mergeCell ref="C5:K5"/>
    <mergeCell ref="C6:K6"/>
    <mergeCell ref="B7:B10"/>
    <mergeCell ref="E7:K7"/>
    <mergeCell ref="B19:D19"/>
    <mergeCell ref="D38:J38"/>
    <mergeCell ref="E8:K8"/>
    <mergeCell ref="E9:K9"/>
    <mergeCell ref="E10:K10"/>
    <mergeCell ref="H19:K19"/>
    <mergeCell ref="B20:D20"/>
    <mergeCell ref="H20:K20"/>
    <mergeCell ref="H22:K22"/>
    <mergeCell ref="B23:D23"/>
    <mergeCell ref="H23:K23"/>
    <mergeCell ref="B26:K26"/>
    <mergeCell ref="B25:K25"/>
    <mergeCell ref="B27:K27"/>
    <mergeCell ref="C30:G30"/>
    <mergeCell ref="H31:I31"/>
    <mergeCell ref="C56:J56"/>
    <mergeCell ref="D57:J57"/>
    <mergeCell ref="D58:J58"/>
    <mergeCell ref="C59:D59"/>
    <mergeCell ref="B21:D21"/>
    <mergeCell ref="H21:K21"/>
    <mergeCell ref="B22:D22"/>
    <mergeCell ref="C34:J34"/>
    <mergeCell ref="C31:D31"/>
    <mergeCell ref="B51:D51"/>
    <mergeCell ref="B52:D52"/>
    <mergeCell ref="D35:J35"/>
    <mergeCell ref="D36:J36"/>
    <mergeCell ref="D37:J37"/>
    <mergeCell ref="B49:D49"/>
    <mergeCell ref="B50:D50"/>
  </mergeCells>
  <dataValidations count="1">
    <dataValidation type="list" allowBlank="1" showInputMessage="1" showErrorMessage="1" sqref="C8:C10">
      <formula1>ImpOptions</formula1>
    </dataValidation>
  </dataValidations>
  <pageMargins left="0.7" right="0.7" top="0.75" bottom="0.75" header="0.3" footer="0.3"/>
  <pageSetup scale="5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52"/>
  <sheetViews>
    <sheetView workbookViewId="0">
      <selection activeCell="B3" sqref="B3"/>
    </sheetView>
  </sheetViews>
  <sheetFormatPr defaultColWidth="9.140625" defaultRowHeight="15" x14ac:dyDescent="0.25"/>
  <cols>
    <col min="1" max="1" width="1.5703125" style="233" customWidth="1"/>
    <col min="2" max="2" width="21.7109375" style="233" customWidth="1"/>
    <col min="3" max="3" width="14.28515625" style="233" customWidth="1"/>
    <col min="4" max="4" width="13.28515625" style="233" customWidth="1"/>
    <col min="5" max="5" width="15.140625" style="233" customWidth="1"/>
    <col min="6" max="6" width="13.42578125" style="233" customWidth="1"/>
    <col min="7" max="7" width="11.28515625" style="233" customWidth="1"/>
    <col min="8" max="8" width="8.5703125" style="233" customWidth="1"/>
    <col min="9" max="9" width="8.28515625" style="233" customWidth="1"/>
    <col min="10" max="10" width="8.7109375" style="233" customWidth="1"/>
    <col min="11" max="11" width="7.7109375" style="233" customWidth="1"/>
    <col min="12" max="12" width="7.5703125" style="233" customWidth="1"/>
    <col min="13" max="13" width="8.140625" style="233" customWidth="1"/>
    <col min="14" max="14" width="8.28515625" style="233" customWidth="1"/>
    <col min="15" max="16384" width="9.140625" style="233"/>
  </cols>
  <sheetData>
    <row r="1" spans="1:19" ht="26.25" customHeight="1" x14ac:dyDescent="0.25">
      <c r="B1" s="706" t="s">
        <v>390</v>
      </c>
      <c r="C1" s="706"/>
      <c r="D1" s="706"/>
      <c r="E1" s="706"/>
      <c r="F1" s="706"/>
      <c r="G1" s="706"/>
      <c r="H1" s="706"/>
      <c r="I1" s="706"/>
      <c r="J1" s="706"/>
    </row>
    <row r="2" spans="1:19" x14ac:dyDescent="0.25">
      <c r="L2" s="300"/>
      <c r="M2" s="300"/>
    </row>
    <row r="3" spans="1:19" ht="15" customHeight="1" thickBot="1" x14ac:dyDescent="0.3">
      <c r="B3" s="336">
        <v>41613</v>
      </c>
      <c r="C3" s="235" t="s">
        <v>412</v>
      </c>
      <c r="L3" s="300"/>
      <c r="M3" s="300"/>
    </row>
    <row r="4" spans="1:19" ht="19.899999999999999" customHeight="1" x14ac:dyDescent="0.25">
      <c r="B4" s="236" t="s">
        <v>15</v>
      </c>
      <c r="C4" s="754" t="s">
        <v>312</v>
      </c>
      <c r="D4" s="754"/>
      <c r="E4" s="754"/>
      <c r="F4" s="754"/>
      <c r="G4" s="754"/>
      <c r="H4" s="754"/>
      <c r="I4" s="754"/>
      <c r="J4" s="848"/>
      <c r="K4" s="848"/>
      <c r="L4" s="848"/>
      <c r="M4" s="848"/>
      <c r="N4" s="848"/>
      <c r="O4" s="848"/>
      <c r="P4" s="849"/>
    </row>
    <row r="5" spans="1:19" x14ac:dyDescent="0.25">
      <c r="B5" s="237" t="s">
        <v>0</v>
      </c>
      <c r="C5" s="669" t="s">
        <v>313</v>
      </c>
      <c r="D5" s="669"/>
      <c r="E5" s="669"/>
      <c r="F5" s="669"/>
      <c r="G5" s="669"/>
      <c r="H5" s="669"/>
      <c r="I5" s="669"/>
      <c r="J5" s="669"/>
      <c r="K5" s="669"/>
      <c r="L5" s="867"/>
      <c r="M5" s="867"/>
      <c r="N5" s="867"/>
      <c r="O5" s="867"/>
      <c r="P5" s="868"/>
    </row>
    <row r="6" spans="1:19" ht="63.6" customHeight="1" thickBot="1" x14ac:dyDescent="0.3">
      <c r="B6" s="430" t="s">
        <v>13</v>
      </c>
      <c r="C6" s="702" t="s">
        <v>483</v>
      </c>
      <c r="D6" s="702"/>
      <c r="E6" s="702"/>
      <c r="F6" s="702"/>
      <c r="G6" s="702"/>
      <c r="H6" s="702"/>
      <c r="I6" s="702"/>
      <c r="J6" s="702"/>
      <c r="K6" s="702"/>
      <c r="L6" s="865"/>
      <c r="M6" s="865"/>
      <c r="N6" s="865"/>
      <c r="O6" s="865"/>
      <c r="P6" s="866"/>
    </row>
    <row r="7" spans="1:19" ht="21" customHeight="1" x14ac:dyDescent="0.25">
      <c r="B7" s="804" t="s">
        <v>554</v>
      </c>
      <c r="C7" s="429" t="s">
        <v>414</v>
      </c>
      <c r="D7" s="429" t="s">
        <v>413</v>
      </c>
      <c r="E7" s="869" t="s">
        <v>421</v>
      </c>
      <c r="F7" s="869"/>
      <c r="G7" s="869"/>
      <c r="H7" s="869"/>
      <c r="I7" s="869"/>
      <c r="J7" s="869"/>
      <c r="K7" s="869"/>
      <c r="L7" s="870"/>
      <c r="M7" s="870"/>
      <c r="N7" s="870"/>
      <c r="O7" s="870"/>
      <c r="P7" s="871"/>
    </row>
    <row r="8" spans="1:19" ht="31.15" customHeight="1" x14ac:dyDescent="0.25">
      <c r="B8" s="804"/>
      <c r="C8" s="342" t="s">
        <v>442</v>
      </c>
      <c r="D8" s="241">
        <v>2014</v>
      </c>
      <c r="E8" s="596" t="s">
        <v>446</v>
      </c>
      <c r="F8" s="720"/>
      <c r="G8" s="720"/>
      <c r="H8" s="720"/>
      <c r="I8" s="720"/>
      <c r="J8" s="720"/>
      <c r="K8" s="720"/>
      <c r="L8" s="867"/>
      <c r="M8" s="867"/>
      <c r="N8" s="867"/>
      <c r="O8" s="867"/>
      <c r="P8" s="868"/>
    </row>
    <row r="9" spans="1:19" ht="30" customHeight="1" thickBot="1" x14ac:dyDescent="0.3">
      <c r="B9" s="805"/>
      <c r="C9" s="395" t="s">
        <v>442</v>
      </c>
      <c r="D9" s="242">
        <v>2014</v>
      </c>
      <c r="E9" s="599" t="s">
        <v>447</v>
      </c>
      <c r="F9" s="722"/>
      <c r="G9" s="722"/>
      <c r="H9" s="722"/>
      <c r="I9" s="722"/>
      <c r="J9" s="722"/>
      <c r="K9" s="722"/>
      <c r="L9" s="865"/>
      <c r="M9" s="865"/>
      <c r="N9" s="865"/>
      <c r="O9" s="865"/>
      <c r="P9" s="866"/>
    </row>
    <row r="10" spans="1:19" x14ac:dyDescent="0.25">
      <c r="A10" s="246"/>
      <c r="B10" s="312"/>
      <c r="C10" s="33"/>
      <c r="F10" s="33"/>
      <c r="L10" s="300"/>
      <c r="M10" s="300"/>
    </row>
    <row r="11" spans="1:19" ht="15.75" customHeight="1" thickBot="1" x14ac:dyDescent="0.3">
      <c r="B11" s="713" t="s">
        <v>26</v>
      </c>
      <c r="C11" s="845"/>
      <c r="D11" s="845"/>
      <c r="E11" s="246"/>
      <c r="F11" s="246"/>
      <c r="G11" s="246"/>
      <c r="H11" s="246"/>
      <c r="I11" s="246"/>
      <c r="J11" s="246"/>
      <c r="K11" s="246"/>
      <c r="L11" s="412"/>
      <c r="M11" s="300"/>
    </row>
    <row r="12" spans="1:19" ht="30" customHeight="1" x14ac:dyDescent="0.25">
      <c r="B12" s="783" t="s">
        <v>27</v>
      </c>
      <c r="C12" s="784"/>
      <c r="D12" s="785"/>
      <c r="E12" s="360" t="s">
        <v>28</v>
      </c>
      <c r="F12" s="360" t="s">
        <v>29</v>
      </c>
      <c r="G12" s="419" t="s">
        <v>30</v>
      </c>
      <c r="H12" s="850" t="s">
        <v>395</v>
      </c>
      <c r="I12" s="851"/>
      <c r="J12" s="851"/>
      <c r="K12" s="851"/>
      <c r="L12" s="852"/>
      <c r="M12" s="852"/>
      <c r="N12" s="852"/>
      <c r="O12" s="852"/>
      <c r="P12" s="853"/>
      <c r="Q12" s="250"/>
      <c r="R12" s="250"/>
      <c r="S12" s="250"/>
    </row>
    <row r="13" spans="1:19" ht="15" customHeight="1" x14ac:dyDescent="0.25">
      <c r="B13" s="872" t="s">
        <v>314</v>
      </c>
      <c r="C13" s="873"/>
      <c r="D13" s="873"/>
      <c r="E13" s="873"/>
      <c r="F13" s="873"/>
      <c r="G13" s="873"/>
      <c r="H13" s="862"/>
      <c r="I13" s="863"/>
      <c r="J13" s="863"/>
      <c r="K13" s="863"/>
      <c r="L13" s="863"/>
      <c r="M13" s="863"/>
      <c r="N13" s="863"/>
      <c r="O13" s="863"/>
      <c r="P13" s="864"/>
      <c r="Q13" s="250"/>
      <c r="R13" s="250"/>
      <c r="S13" s="250"/>
    </row>
    <row r="14" spans="1:19" ht="44.45" customHeight="1" x14ac:dyDescent="0.25">
      <c r="B14" s="874" t="s">
        <v>315</v>
      </c>
      <c r="C14" s="875"/>
      <c r="D14" s="876"/>
      <c r="E14" s="433" t="s">
        <v>561</v>
      </c>
      <c r="F14" s="355" t="s">
        <v>65</v>
      </c>
      <c r="G14" s="313"/>
      <c r="H14" s="854" t="s">
        <v>551</v>
      </c>
      <c r="I14" s="854"/>
      <c r="J14" s="854"/>
      <c r="K14" s="854"/>
      <c r="L14" s="855"/>
      <c r="M14" s="855"/>
      <c r="N14" s="855"/>
      <c r="O14" s="855"/>
      <c r="P14" s="856"/>
      <c r="Q14" s="250"/>
      <c r="R14" s="250"/>
      <c r="S14" s="250"/>
    </row>
    <row r="15" spans="1:19" ht="43.15" x14ac:dyDescent="0.3">
      <c r="B15" s="775" t="s">
        <v>316</v>
      </c>
      <c r="C15" s="776"/>
      <c r="D15" s="777"/>
      <c r="E15" s="433" t="s">
        <v>561</v>
      </c>
      <c r="F15" s="251"/>
      <c r="G15" s="256"/>
      <c r="H15" s="731" t="s">
        <v>562</v>
      </c>
      <c r="I15" s="731"/>
      <c r="J15" s="731"/>
      <c r="K15" s="731"/>
      <c r="L15" s="820"/>
      <c r="M15" s="820"/>
      <c r="N15" s="820"/>
      <c r="O15" s="820"/>
      <c r="P15" s="821"/>
      <c r="Q15" s="250"/>
      <c r="R15" s="250"/>
      <c r="S15" s="250"/>
    </row>
    <row r="16" spans="1:19" ht="39.75" customHeight="1" x14ac:dyDescent="0.3">
      <c r="B16" s="775" t="s">
        <v>318</v>
      </c>
      <c r="C16" s="776"/>
      <c r="D16" s="777"/>
      <c r="E16" s="160">
        <f>'Common Factors'!D68</f>
        <v>6.3801350694767502E-4</v>
      </c>
      <c r="F16" s="251" t="s">
        <v>319</v>
      </c>
      <c r="G16" s="313" t="s">
        <v>320</v>
      </c>
      <c r="H16" s="731"/>
      <c r="I16" s="731"/>
      <c r="J16" s="731"/>
      <c r="K16" s="731"/>
      <c r="L16" s="820"/>
      <c r="M16" s="820"/>
      <c r="N16" s="820"/>
      <c r="O16" s="820"/>
      <c r="P16" s="821"/>
    </row>
    <row r="17" spans="2:21" ht="20.25" customHeight="1" thickBot="1" x14ac:dyDescent="0.35">
      <c r="B17" s="778" t="s">
        <v>321</v>
      </c>
      <c r="C17" s="779"/>
      <c r="D17" s="780"/>
      <c r="E17" s="387">
        <f>'Common Factors'!D72</f>
        <v>16594640.096000001</v>
      </c>
      <c r="F17" s="353" t="s">
        <v>322</v>
      </c>
      <c r="G17" s="354" t="s">
        <v>323</v>
      </c>
      <c r="H17" s="752"/>
      <c r="I17" s="752"/>
      <c r="J17" s="752"/>
      <c r="K17" s="752"/>
      <c r="L17" s="857"/>
      <c r="M17" s="857"/>
      <c r="N17" s="857"/>
      <c r="O17" s="857"/>
      <c r="P17" s="858"/>
      <c r="Q17" s="250"/>
      <c r="R17" s="250"/>
      <c r="S17" s="250"/>
    </row>
    <row r="18" spans="2:21" ht="15" customHeight="1" x14ac:dyDescent="0.3">
      <c r="B18" s="846" t="s">
        <v>325</v>
      </c>
      <c r="C18" s="847"/>
      <c r="D18" s="847"/>
      <c r="E18" s="847"/>
      <c r="F18" s="847"/>
      <c r="G18" s="847"/>
      <c r="H18" s="859"/>
      <c r="I18" s="860"/>
      <c r="J18" s="860"/>
      <c r="K18" s="860"/>
      <c r="L18" s="860"/>
      <c r="M18" s="860"/>
      <c r="N18" s="860"/>
      <c r="O18" s="860"/>
      <c r="P18" s="861"/>
    </row>
    <row r="19" spans="2:21" ht="15" customHeight="1" x14ac:dyDescent="0.3">
      <c r="B19" s="814" t="s">
        <v>517</v>
      </c>
      <c r="C19" s="677"/>
      <c r="D19" s="678"/>
      <c r="E19" s="435">
        <v>0</v>
      </c>
      <c r="F19" s="315"/>
      <c r="G19" s="283" t="s">
        <v>106</v>
      </c>
      <c r="H19" s="733" t="s">
        <v>550</v>
      </c>
      <c r="I19" s="733"/>
      <c r="J19" s="733"/>
      <c r="K19" s="733"/>
      <c r="L19" s="820"/>
      <c r="M19" s="820"/>
      <c r="N19" s="820"/>
      <c r="O19" s="820"/>
      <c r="P19" s="821"/>
    </row>
    <row r="20" spans="2:21" ht="15" customHeight="1" x14ac:dyDescent="0.3">
      <c r="B20" s="815" t="s">
        <v>326</v>
      </c>
      <c r="C20" s="666"/>
      <c r="D20" s="816"/>
      <c r="E20" s="205">
        <f>((27.1*2)/60)*40</f>
        <v>36.13333333333334</v>
      </c>
      <c r="F20" s="315"/>
      <c r="G20" s="283" t="s">
        <v>327</v>
      </c>
      <c r="H20" s="731"/>
      <c r="I20" s="731"/>
      <c r="J20" s="731"/>
      <c r="K20" s="731"/>
      <c r="L20" s="820"/>
      <c r="M20" s="820"/>
      <c r="N20" s="820"/>
      <c r="O20" s="820"/>
      <c r="P20" s="821"/>
    </row>
    <row r="21" spans="2:21" ht="15" customHeight="1" x14ac:dyDescent="0.3">
      <c r="B21" s="815" t="s">
        <v>328</v>
      </c>
      <c r="C21" s="666"/>
      <c r="D21" s="816"/>
      <c r="E21" s="206">
        <v>260</v>
      </c>
      <c r="F21" s="315"/>
      <c r="G21" s="283" t="s">
        <v>329</v>
      </c>
      <c r="H21" s="731"/>
      <c r="I21" s="731"/>
      <c r="J21" s="731"/>
      <c r="K21" s="731"/>
      <c r="L21" s="820"/>
      <c r="M21" s="820"/>
      <c r="N21" s="820"/>
      <c r="O21" s="820"/>
      <c r="P21" s="821"/>
    </row>
    <row r="22" spans="2:21" ht="15" customHeight="1" thickBot="1" x14ac:dyDescent="0.35">
      <c r="B22" s="817" t="s">
        <v>330</v>
      </c>
      <c r="C22" s="818"/>
      <c r="D22" s="819"/>
      <c r="E22" s="384">
        <v>2.5</v>
      </c>
      <c r="F22" s="385"/>
      <c r="G22" s="386" t="s">
        <v>331</v>
      </c>
      <c r="H22" s="752"/>
      <c r="I22" s="752"/>
      <c r="J22" s="752"/>
      <c r="K22" s="752"/>
      <c r="L22" s="857"/>
      <c r="M22" s="857"/>
      <c r="N22" s="857"/>
      <c r="O22" s="857"/>
      <c r="P22" s="858"/>
    </row>
    <row r="23" spans="2:21" ht="19.5" customHeight="1" x14ac:dyDescent="0.3">
      <c r="B23" s="253" t="s">
        <v>324</v>
      </c>
      <c r="C23" s="253"/>
      <c r="D23" s="253"/>
      <c r="E23" s="253"/>
      <c r="F23" s="253"/>
      <c r="G23" s="253"/>
      <c r="H23" s="314"/>
      <c r="I23" s="253"/>
      <c r="J23" s="253"/>
      <c r="K23" s="250"/>
      <c r="L23" s="413"/>
      <c r="M23" s="413"/>
      <c r="N23" s="250"/>
      <c r="O23" s="250"/>
      <c r="P23" s="250"/>
      <c r="Q23" s="250"/>
      <c r="R23" s="250"/>
      <c r="S23" s="250"/>
    </row>
    <row r="24" spans="2:21" ht="30" customHeight="1" x14ac:dyDescent="0.25">
      <c r="B24" s="877" t="s">
        <v>332</v>
      </c>
      <c r="C24" s="878"/>
      <c r="D24" s="878"/>
      <c r="E24" s="878"/>
      <c r="F24" s="878"/>
      <c r="G24" s="878"/>
      <c r="H24" s="878"/>
      <c r="I24" s="878"/>
      <c r="J24" s="878"/>
      <c r="K24" s="878"/>
      <c r="L24" s="414"/>
      <c r="M24" s="300"/>
    </row>
    <row r="25" spans="2:21" ht="18" customHeight="1" thickBot="1" x14ac:dyDescent="0.3">
      <c r="B25" s="262"/>
      <c r="C25" s="246"/>
      <c r="D25" s="246"/>
      <c r="E25" s="246"/>
      <c r="F25" s="246"/>
      <c r="G25" s="262"/>
      <c r="H25" s="246"/>
      <c r="I25" s="246"/>
      <c r="J25" s="246"/>
      <c r="K25" s="246"/>
      <c r="L25" s="412"/>
      <c r="M25" s="300"/>
    </row>
    <row r="26" spans="2:21" ht="18" customHeight="1" x14ac:dyDescent="0.25">
      <c r="B26" s="747" t="s">
        <v>25</v>
      </c>
      <c r="C26" s="748"/>
      <c r="D26" s="748"/>
      <c r="E26" s="748"/>
      <c r="F26" s="748"/>
      <c r="G26" s="748"/>
      <c r="H26" s="748"/>
      <c r="I26" s="748"/>
      <c r="J26" s="748"/>
      <c r="K26" s="749"/>
      <c r="L26" s="415"/>
      <c r="M26" s="416"/>
      <c r="N26" s="317"/>
      <c r="O26" s="318"/>
      <c r="P26" s="318"/>
      <c r="Q26" s="318"/>
      <c r="R26" s="318"/>
      <c r="S26" s="318"/>
      <c r="T26" s="318"/>
      <c r="U26" s="318"/>
    </row>
    <row r="27" spans="2:21" ht="15" customHeight="1" x14ac:dyDescent="0.25">
      <c r="B27" s="750" t="s">
        <v>333</v>
      </c>
      <c r="C27" s="662"/>
      <c r="D27" s="662"/>
      <c r="E27" s="662"/>
      <c r="F27" s="662"/>
      <c r="G27" s="662"/>
      <c r="H27" s="662"/>
      <c r="I27" s="662"/>
      <c r="J27" s="662"/>
      <c r="K27" s="751"/>
      <c r="L27" s="417"/>
      <c r="M27" s="416"/>
      <c r="N27" s="317"/>
      <c r="O27" s="318"/>
      <c r="P27" s="318"/>
      <c r="Q27" s="318"/>
      <c r="R27" s="318"/>
      <c r="S27" s="318"/>
      <c r="T27" s="318"/>
      <c r="U27" s="318"/>
    </row>
    <row r="28" spans="2:21" ht="15" customHeight="1" x14ac:dyDescent="0.25">
      <c r="B28" s="750" t="s">
        <v>334</v>
      </c>
      <c r="C28" s="662"/>
      <c r="D28" s="662"/>
      <c r="E28" s="662"/>
      <c r="F28" s="662"/>
      <c r="G28" s="662"/>
      <c r="H28" s="662"/>
      <c r="I28" s="662"/>
      <c r="J28" s="662"/>
      <c r="K28" s="751"/>
      <c r="L28" s="417"/>
      <c r="M28" s="416"/>
      <c r="N28" s="317"/>
      <c r="O28" s="318"/>
      <c r="P28" s="318"/>
      <c r="Q28" s="318"/>
      <c r="R28" s="318"/>
      <c r="S28" s="318"/>
      <c r="T28" s="318"/>
      <c r="U28" s="318"/>
    </row>
    <row r="29" spans="2:21" ht="15" customHeight="1" x14ac:dyDescent="0.25">
      <c r="B29" s="750" t="s">
        <v>335</v>
      </c>
      <c r="C29" s="662"/>
      <c r="D29" s="662"/>
      <c r="E29" s="662"/>
      <c r="F29" s="662"/>
      <c r="G29" s="662"/>
      <c r="H29" s="662"/>
      <c r="I29" s="662"/>
      <c r="J29" s="662"/>
      <c r="K29" s="751"/>
      <c r="L29" s="417"/>
      <c r="M29" s="416"/>
      <c r="N29" s="317"/>
      <c r="O29" s="318"/>
      <c r="P29" s="318"/>
      <c r="Q29" s="318"/>
      <c r="R29" s="318"/>
      <c r="S29" s="318"/>
      <c r="T29" s="318"/>
      <c r="U29" s="318"/>
    </row>
    <row r="30" spans="2:21" ht="15.75" thickBot="1" x14ac:dyDescent="0.3">
      <c r="B30" s="737" t="s">
        <v>336</v>
      </c>
      <c r="C30" s="738"/>
      <c r="D30" s="738"/>
      <c r="E30" s="738"/>
      <c r="F30" s="738"/>
      <c r="G30" s="738"/>
      <c r="H30" s="738"/>
      <c r="I30" s="738"/>
      <c r="J30" s="738"/>
      <c r="K30" s="739"/>
      <c r="L30" s="417"/>
      <c r="M30" s="300"/>
    </row>
    <row r="31" spans="2:21" x14ac:dyDescent="0.25">
      <c r="B31" s="33"/>
      <c r="C31" s="246"/>
      <c r="D31" s="246"/>
      <c r="E31" s="246"/>
      <c r="F31" s="403"/>
      <c r="G31" s="403"/>
      <c r="H31" s="246"/>
      <c r="I31" s="246"/>
      <c r="J31" s="246"/>
      <c r="K31" s="246"/>
      <c r="L31" s="398"/>
      <c r="M31" s="246"/>
      <c r="N31" s="398"/>
    </row>
    <row r="32" spans="2:21" x14ac:dyDescent="0.25">
      <c r="B32" s="319" t="s">
        <v>22</v>
      </c>
      <c r="C32" s="246"/>
      <c r="D32" s="246"/>
      <c r="E32" s="246"/>
      <c r="F32" s="246"/>
      <c r="G32" s="246"/>
      <c r="H32" s="246"/>
      <c r="I32" s="246"/>
      <c r="J32" s="246"/>
      <c r="K32" s="246"/>
      <c r="L32" s="398"/>
    </row>
    <row r="33" spans="2:15" ht="7.9" customHeight="1" x14ac:dyDescent="0.25">
      <c r="C33" s="246"/>
      <c r="D33" s="246"/>
      <c r="E33" s="246"/>
      <c r="F33" s="246"/>
      <c r="G33" s="246"/>
      <c r="H33" s="246"/>
      <c r="I33" s="403"/>
      <c r="J33" s="403"/>
      <c r="K33" s="403"/>
      <c r="L33" s="403"/>
      <c r="M33" s="403"/>
      <c r="N33" s="403"/>
      <c r="O33" s="403"/>
    </row>
    <row r="34" spans="2:15" ht="17.45" customHeight="1" thickBot="1" x14ac:dyDescent="0.3">
      <c r="B34" s="420" t="s">
        <v>337</v>
      </c>
      <c r="C34" s="403"/>
      <c r="D34" s="403"/>
      <c r="E34" s="403"/>
      <c r="F34" s="403"/>
      <c r="G34" s="403"/>
      <c r="H34" s="403"/>
      <c r="I34" s="264"/>
      <c r="J34" s="264"/>
      <c r="K34" s="264"/>
      <c r="L34" s="264"/>
      <c r="M34" s="264"/>
      <c r="N34" s="264"/>
    </row>
    <row r="35" spans="2:15" ht="30" customHeight="1" thickBot="1" x14ac:dyDescent="0.3">
      <c r="B35" s="389"/>
      <c r="C35" s="273"/>
      <c r="D35" s="828" t="s">
        <v>338</v>
      </c>
      <c r="E35" s="829"/>
      <c r="F35" s="829"/>
      <c r="G35" s="829"/>
      <c r="H35" s="829"/>
      <c r="I35" s="829"/>
      <c r="J35" s="829"/>
      <c r="K35" s="829"/>
      <c r="L35" s="829"/>
      <c r="M35" s="829"/>
      <c r="N35" s="830"/>
    </row>
    <row r="36" spans="2:15" ht="21" customHeight="1" x14ac:dyDescent="0.25">
      <c r="B36" s="383"/>
      <c r="C36" s="274"/>
      <c r="D36" s="831" t="s">
        <v>563</v>
      </c>
      <c r="E36" s="832"/>
      <c r="F36" s="832"/>
      <c r="G36" s="832"/>
      <c r="H36" s="832"/>
      <c r="I36" s="832"/>
      <c r="J36" s="832"/>
      <c r="K36" s="832"/>
      <c r="L36" s="832"/>
      <c r="M36" s="832"/>
      <c r="N36" s="833"/>
    </row>
    <row r="37" spans="2:15" ht="30" customHeight="1" thickBot="1" x14ac:dyDescent="0.3">
      <c r="B37" s="390"/>
      <c r="C37" s="274"/>
      <c r="D37" s="405">
        <v>0</v>
      </c>
      <c r="E37" s="404">
        <v>0.01</v>
      </c>
      <c r="F37" s="406">
        <v>0.02</v>
      </c>
      <c r="G37" s="406">
        <v>0.03</v>
      </c>
      <c r="H37" s="406">
        <v>0.04</v>
      </c>
      <c r="I37" s="406">
        <v>0.05</v>
      </c>
      <c r="J37" s="407">
        <v>7.4999999999999997E-2</v>
      </c>
      <c r="K37" s="405">
        <v>0.1</v>
      </c>
      <c r="L37" s="404">
        <v>0.15</v>
      </c>
      <c r="M37" s="406">
        <v>0.2</v>
      </c>
      <c r="N37" s="408">
        <v>0.25</v>
      </c>
    </row>
    <row r="38" spans="2:15" ht="25.9" customHeight="1" thickBot="1" x14ac:dyDescent="0.3">
      <c r="B38" s="391"/>
      <c r="C38" s="320"/>
      <c r="D38" s="834" t="s">
        <v>339</v>
      </c>
      <c r="E38" s="835"/>
      <c r="F38" s="835"/>
      <c r="G38" s="835"/>
      <c r="H38" s="835"/>
      <c r="I38" s="835"/>
      <c r="J38" s="835"/>
      <c r="K38" s="835"/>
      <c r="L38" s="835"/>
      <c r="M38" s="835"/>
      <c r="N38" s="836"/>
    </row>
    <row r="39" spans="2:15" ht="30" customHeight="1" x14ac:dyDescent="0.25">
      <c r="B39" s="838" t="s">
        <v>340</v>
      </c>
      <c r="C39" s="409" t="s">
        <v>341</v>
      </c>
      <c r="D39" s="421">
        <v>0</v>
      </c>
      <c r="E39" s="422">
        <v>6.9999999999999999E-4</v>
      </c>
      <c r="F39" s="422">
        <f>AVERAGE(E39,G39)</f>
        <v>1.4E-3</v>
      </c>
      <c r="G39" s="422">
        <v>2.0999999999999999E-3</v>
      </c>
      <c r="H39" s="422">
        <f>AVERAGE(G39,I39)</f>
        <v>2.8E-3</v>
      </c>
      <c r="I39" s="422">
        <v>3.5000000000000001E-3</v>
      </c>
      <c r="J39" s="422">
        <f>AVERAGE(I39,K39)</f>
        <v>5.2500000000000003E-3</v>
      </c>
      <c r="K39" s="422">
        <v>7.0000000000000001E-3</v>
      </c>
      <c r="L39" s="422">
        <f>AVERAGE(K39,K39,N39)</f>
        <v>1.0500000000000001E-2</v>
      </c>
      <c r="M39" s="422">
        <f>AVERAGE(K39,N39,N39)</f>
        <v>1.4E-2</v>
      </c>
      <c r="N39" s="423">
        <v>1.7500000000000002E-2</v>
      </c>
    </row>
    <row r="40" spans="2:15" ht="30" customHeight="1" x14ac:dyDescent="0.25">
      <c r="B40" s="839"/>
      <c r="C40" s="410" t="s">
        <v>317</v>
      </c>
      <c r="D40" s="421">
        <v>0</v>
      </c>
      <c r="E40" s="422">
        <v>1.5E-3</v>
      </c>
      <c r="F40" s="424">
        <f t="shared" ref="F40:H41" si="0">AVERAGE(E40,G40)</f>
        <v>3.0000000000000001E-3</v>
      </c>
      <c r="G40" s="424">
        <v>4.4999999999999997E-3</v>
      </c>
      <c r="H40" s="424">
        <f t="shared" si="0"/>
        <v>6.0000000000000001E-3</v>
      </c>
      <c r="I40" s="424">
        <v>7.4999999999999997E-3</v>
      </c>
      <c r="J40" s="424">
        <f t="shared" ref="J40" si="1">AVERAGE(I40,K40)</f>
        <v>1.125E-2</v>
      </c>
      <c r="K40" s="424">
        <v>1.4999999999999999E-2</v>
      </c>
      <c r="L40" s="424">
        <f>AVERAGE(K40,K40,N40)</f>
        <v>2.2500000000000003E-2</v>
      </c>
      <c r="M40" s="424">
        <f>AVERAGE(K40,N40,N40)</f>
        <v>0.03</v>
      </c>
      <c r="N40" s="423">
        <v>3.7499999999999999E-2</v>
      </c>
    </row>
    <row r="41" spans="2:15" ht="30" customHeight="1" thickBot="1" x14ac:dyDescent="0.3">
      <c r="B41" s="840"/>
      <c r="C41" s="411" t="s">
        <v>342</v>
      </c>
      <c r="D41" s="431">
        <v>0</v>
      </c>
      <c r="E41" s="425">
        <v>2.2000000000000001E-3</v>
      </c>
      <c r="F41" s="425">
        <f t="shared" si="0"/>
        <v>4.4000000000000003E-3</v>
      </c>
      <c r="G41" s="425">
        <v>6.6E-3</v>
      </c>
      <c r="H41" s="425">
        <f t="shared" si="0"/>
        <v>8.7999999999999988E-3</v>
      </c>
      <c r="I41" s="425">
        <v>1.0999999999999999E-2</v>
      </c>
      <c r="J41" s="425">
        <f t="shared" ref="J41" si="2">AVERAGE(I41,K41)</f>
        <v>1.6500000000000001E-2</v>
      </c>
      <c r="K41" s="425">
        <v>2.1999999999999999E-2</v>
      </c>
      <c r="L41" s="425">
        <f>AVERAGE(K41,K41,N41)</f>
        <v>3.3000000000000002E-2</v>
      </c>
      <c r="M41" s="425">
        <f>AVERAGE(K41,N41,N41)</f>
        <v>4.4000000000000004E-2</v>
      </c>
      <c r="N41" s="426">
        <v>5.5E-2</v>
      </c>
    </row>
    <row r="42" spans="2:15" ht="69" customHeight="1" thickBot="1" x14ac:dyDescent="0.3">
      <c r="B42" s="273"/>
      <c r="C42" s="672" t="s">
        <v>565</v>
      </c>
      <c r="D42" s="837"/>
      <c r="E42" s="432">
        <f>D40</f>
        <v>0</v>
      </c>
      <c r="F42" s="841" t="s">
        <v>564</v>
      </c>
      <c r="G42" s="842"/>
      <c r="H42" s="842"/>
      <c r="I42" s="843"/>
      <c r="J42" s="843"/>
      <c r="K42" s="843"/>
      <c r="L42" s="843"/>
      <c r="M42" s="843"/>
      <c r="N42" s="844"/>
    </row>
    <row r="43" spans="2:15" ht="30.6" customHeight="1" thickBot="1" x14ac:dyDescent="0.3">
      <c r="B43" s="274"/>
      <c r="C43" s="672" t="s">
        <v>343</v>
      </c>
      <c r="D43" s="673"/>
      <c r="E43" s="326">
        <f>E17*E42</f>
        <v>0</v>
      </c>
      <c r="F43" s="427" t="s">
        <v>344</v>
      </c>
      <c r="G43" s="434"/>
      <c r="H43" s="418"/>
      <c r="I43" s="323"/>
      <c r="J43" s="323"/>
      <c r="K43" s="323"/>
      <c r="L43" s="323"/>
    </row>
    <row r="44" spans="2:15" ht="15.6" customHeight="1" x14ac:dyDescent="0.25">
      <c r="B44" s="246"/>
      <c r="C44" s="269"/>
      <c r="D44" s="269"/>
      <c r="E44" s="268"/>
      <c r="F44" s="269"/>
      <c r="G44" s="323"/>
      <c r="H44" s="323"/>
      <c r="I44" s="323"/>
      <c r="J44" s="323"/>
      <c r="K44" s="323"/>
      <c r="L44" s="323"/>
    </row>
    <row r="45" spans="2:15" ht="15.6" customHeight="1" thickBot="1" x14ac:dyDescent="0.3">
      <c r="B45" s="428" t="s">
        <v>345</v>
      </c>
      <c r="D45" s="400"/>
      <c r="E45" s="268"/>
      <c r="F45" s="400"/>
      <c r="G45" s="323"/>
      <c r="H45" s="323"/>
      <c r="I45" s="323"/>
      <c r="J45" s="323"/>
      <c r="K45" s="323"/>
      <c r="L45" s="323"/>
    </row>
    <row r="46" spans="2:15" ht="45" customHeight="1" thickBot="1" x14ac:dyDescent="0.3">
      <c r="B46" s="825" t="s">
        <v>346</v>
      </c>
      <c r="C46" s="826"/>
      <c r="D46" s="826"/>
      <c r="E46" s="827"/>
      <c r="F46" s="112"/>
      <c r="G46" s="112"/>
      <c r="I46" s="294"/>
      <c r="J46" s="294"/>
      <c r="K46" s="294"/>
      <c r="L46" s="294"/>
    </row>
    <row r="47" spans="2:15" ht="39.75" customHeight="1" thickBot="1" x14ac:dyDescent="0.3">
      <c r="B47" s="401" t="s">
        <v>343</v>
      </c>
      <c r="C47" s="402"/>
      <c r="D47" s="326">
        <f>(E19*E20*E21)-(E19*E20*E21/E22)</f>
        <v>0</v>
      </c>
      <c r="E47" s="427" t="s">
        <v>344</v>
      </c>
      <c r="F47" s="403"/>
      <c r="G47" s="323"/>
      <c r="I47" s="323"/>
      <c r="J47" s="323"/>
      <c r="K47" s="323"/>
      <c r="L47" s="323"/>
    </row>
    <row r="48" spans="2:15" ht="27.6" customHeight="1" thickBot="1" x14ac:dyDescent="0.3"/>
    <row r="49" spans="2:12" ht="30" customHeight="1" thickBot="1" x14ac:dyDescent="0.3">
      <c r="B49" s="365" t="s">
        <v>35</v>
      </c>
      <c r="C49" s="822" t="s">
        <v>347</v>
      </c>
      <c r="D49" s="823"/>
      <c r="E49" s="823"/>
      <c r="F49" s="823"/>
      <c r="G49" s="823"/>
      <c r="H49" s="824"/>
      <c r="I49" s="323"/>
      <c r="J49" s="323"/>
      <c r="K49" s="246"/>
      <c r="L49" s="398"/>
    </row>
    <row r="50" spans="2:12" ht="45" customHeight="1" thickBot="1" x14ac:dyDescent="0.3">
      <c r="B50" s="274"/>
      <c r="C50" s="672" t="s">
        <v>20</v>
      </c>
      <c r="D50" s="673"/>
      <c r="E50" s="299">
        <f>(E43+D47)*E16</f>
        <v>0</v>
      </c>
      <c r="F50" s="277" t="s">
        <v>72</v>
      </c>
      <c r="G50" s="277"/>
      <c r="H50" s="278"/>
      <c r="I50" s="255"/>
      <c r="J50" s="255"/>
      <c r="K50" s="255"/>
      <c r="L50" s="255"/>
    </row>
    <row r="51" spans="2:12" x14ac:dyDescent="0.25">
      <c r="C51" s="246"/>
      <c r="D51" s="246"/>
      <c r="E51" s="246"/>
      <c r="F51" s="246"/>
      <c r="G51" s="246"/>
      <c r="H51" s="246"/>
      <c r="I51" s="246"/>
      <c r="J51" s="246"/>
      <c r="K51" s="246"/>
      <c r="L51" s="398"/>
    </row>
    <row r="52" spans="2:12" x14ac:dyDescent="0.25">
      <c r="C52" s="246"/>
      <c r="D52" s="246"/>
      <c r="E52" s="246"/>
      <c r="F52" s="246"/>
      <c r="G52" s="246"/>
      <c r="H52" s="246"/>
      <c r="I52" s="246"/>
      <c r="J52" s="246"/>
      <c r="K52" s="246"/>
      <c r="L52" s="398"/>
    </row>
  </sheetData>
  <sheetProtection password="DCA2" sheet="1" objects="1" scenarios="1"/>
  <mergeCells count="47">
    <mergeCell ref="C6:P6"/>
    <mergeCell ref="C5:P5"/>
    <mergeCell ref="B16:D16"/>
    <mergeCell ref="B26:K26"/>
    <mergeCell ref="B27:K27"/>
    <mergeCell ref="E7:P7"/>
    <mergeCell ref="E8:P8"/>
    <mergeCell ref="E9:P9"/>
    <mergeCell ref="B12:D12"/>
    <mergeCell ref="B13:G13"/>
    <mergeCell ref="B14:D14"/>
    <mergeCell ref="B15:D15"/>
    <mergeCell ref="B24:K24"/>
    <mergeCell ref="H20:P20"/>
    <mergeCell ref="H21:P21"/>
    <mergeCell ref="H22:P22"/>
    <mergeCell ref="B28:K28"/>
    <mergeCell ref="B29:K29"/>
    <mergeCell ref="B30:K30"/>
    <mergeCell ref="B1:J1"/>
    <mergeCell ref="B11:D11"/>
    <mergeCell ref="B7:B9"/>
    <mergeCell ref="B17:D17"/>
    <mergeCell ref="B18:G18"/>
    <mergeCell ref="C4:P4"/>
    <mergeCell ref="H12:P12"/>
    <mergeCell ref="H14:P14"/>
    <mergeCell ref="H15:P15"/>
    <mergeCell ref="H16:P16"/>
    <mergeCell ref="H17:P17"/>
    <mergeCell ref="H18:P18"/>
    <mergeCell ref="H13:P13"/>
    <mergeCell ref="C50:D50"/>
    <mergeCell ref="C43:D43"/>
    <mergeCell ref="C49:H49"/>
    <mergeCell ref="B46:E46"/>
    <mergeCell ref="D35:N35"/>
    <mergeCell ref="D36:N36"/>
    <mergeCell ref="D38:N38"/>
    <mergeCell ref="C42:D42"/>
    <mergeCell ref="B39:B41"/>
    <mergeCell ref="F42:N42"/>
    <mergeCell ref="B19:D19"/>
    <mergeCell ref="B20:D20"/>
    <mergeCell ref="B21:D21"/>
    <mergeCell ref="B22:D22"/>
    <mergeCell ref="H19:P19"/>
  </mergeCells>
  <dataValidations count="1">
    <dataValidation type="list" allowBlank="1" showInputMessage="1" showErrorMessage="1" sqref="C8:C9">
      <formula1>ImpOptions</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T37"/>
  <sheetViews>
    <sheetView workbookViewId="0">
      <selection activeCell="B4" sqref="B4"/>
    </sheetView>
  </sheetViews>
  <sheetFormatPr defaultColWidth="9.140625" defaultRowHeight="15" x14ac:dyDescent="0.25"/>
  <cols>
    <col min="1" max="1" width="1.7109375" style="233" customWidth="1"/>
    <col min="2" max="2" width="22.85546875" style="233" customWidth="1"/>
    <col min="3" max="6" width="15.7109375" style="233" customWidth="1"/>
    <col min="7" max="7" width="16.7109375" style="233" customWidth="1"/>
    <col min="8" max="12" width="15.7109375" style="233" customWidth="1"/>
    <col min="13" max="16384" width="9.140625" style="233"/>
  </cols>
  <sheetData>
    <row r="1" spans="2:18" ht="26.25" customHeight="1" x14ac:dyDescent="0.25">
      <c r="B1" s="706" t="s">
        <v>492</v>
      </c>
      <c r="C1" s="706"/>
      <c r="D1" s="706"/>
      <c r="E1" s="706"/>
      <c r="F1" s="706"/>
      <c r="G1" s="706"/>
      <c r="H1" s="706"/>
      <c r="I1" s="706"/>
      <c r="J1" s="706"/>
    </row>
    <row r="2" spans="2:18" ht="25.15" customHeight="1" x14ac:dyDescent="0.25">
      <c r="B2" s="898" t="s">
        <v>558</v>
      </c>
      <c r="C2" s="899"/>
      <c r="D2" s="899"/>
      <c r="E2" s="899"/>
      <c r="F2" s="899"/>
      <c r="G2" s="899"/>
      <c r="H2" s="899"/>
      <c r="I2" s="899"/>
      <c r="J2" s="899"/>
      <c r="K2" s="899"/>
    </row>
    <row r="4" spans="2:18" ht="15" customHeight="1" thickBot="1" x14ac:dyDescent="0.3">
      <c r="B4" s="336">
        <v>41613</v>
      </c>
      <c r="C4" s="235" t="s">
        <v>412</v>
      </c>
    </row>
    <row r="5" spans="2:18" ht="21.6" customHeight="1" x14ac:dyDescent="0.25">
      <c r="B5" s="334" t="s">
        <v>15</v>
      </c>
      <c r="C5" s="724" t="s">
        <v>133</v>
      </c>
      <c r="D5" s="725"/>
      <c r="E5" s="725"/>
      <c r="F5" s="725"/>
      <c r="G5" s="725"/>
      <c r="H5" s="725"/>
      <c r="I5" s="725"/>
      <c r="J5" s="725"/>
      <c r="K5" s="895"/>
    </row>
    <row r="6" spans="2:18" x14ac:dyDescent="0.25">
      <c r="B6" s="335" t="s">
        <v>0</v>
      </c>
      <c r="C6" s="786" t="s">
        <v>313</v>
      </c>
      <c r="D6" s="787"/>
      <c r="E6" s="787"/>
      <c r="F6" s="787"/>
      <c r="G6" s="787"/>
      <c r="H6" s="787"/>
      <c r="I6" s="787"/>
      <c r="J6" s="787"/>
      <c r="K6" s="788"/>
    </row>
    <row r="7" spans="2:18" ht="27" customHeight="1" thickBot="1" x14ac:dyDescent="0.3">
      <c r="B7" s="238" t="s">
        <v>13</v>
      </c>
      <c r="C7" s="889" t="s">
        <v>484</v>
      </c>
      <c r="D7" s="890"/>
      <c r="E7" s="890"/>
      <c r="F7" s="890"/>
      <c r="G7" s="890"/>
      <c r="H7" s="890"/>
      <c r="I7" s="890"/>
      <c r="J7" s="890"/>
      <c r="K7" s="891"/>
    </row>
    <row r="8" spans="2:18" ht="20.45" customHeight="1" x14ac:dyDescent="0.25">
      <c r="B8" s="803" t="s">
        <v>553</v>
      </c>
      <c r="C8" s="324" t="s">
        <v>414</v>
      </c>
      <c r="D8" s="324" t="s">
        <v>413</v>
      </c>
      <c r="E8" s="892" t="s">
        <v>421</v>
      </c>
      <c r="F8" s="893"/>
      <c r="G8" s="893"/>
      <c r="H8" s="893"/>
      <c r="I8" s="893"/>
      <c r="J8" s="893"/>
      <c r="K8" s="894"/>
    </row>
    <row r="9" spans="2:18" ht="27" customHeight="1" x14ac:dyDescent="0.25">
      <c r="B9" s="804"/>
      <c r="C9" s="342" t="s">
        <v>442</v>
      </c>
      <c r="D9" s="241">
        <v>2014</v>
      </c>
      <c r="E9" s="596" t="s">
        <v>448</v>
      </c>
      <c r="F9" s="720"/>
      <c r="G9" s="720"/>
      <c r="H9" s="720"/>
      <c r="I9" s="720"/>
      <c r="J9" s="720"/>
      <c r="K9" s="721"/>
    </row>
    <row r="10" spans="2:18" ht="30.75" customHeight="1" thickBot="1" x14ac:dyDescent="0.3">
      <c r="B10" s="805"/>
      <c r="C10" s="395" t="s">
        <v>442</v>
      </c>
      <c r="D10" s="242">
        <v>2014</v>
      </c>
      <c r="E10" s="599" t="s">
        <v>449</v>
      </c>
      <c r="F10" s="722"/>
      <c r="G10" s="722"/>
      <c r="H10" s="722"/>
      <c r="I10" s="722"/>
      <c r="J10" s="722"/>
      <c r="K10" s="723"/>
    </row>
    <row r="11" spans="2:18" x14ac:dyDescent="0.25">
      <c r="B11" s="272"/>
      <c r="C11" s="198"/>
      <c r="E11" s="246"/>
      <c r="F11" s="202"/>
      <c r="G11" s="246"/>
    </row>
    <row r="12" spans="2:18" ht="15.75" customHeight="1" thickBot="1" x14ac:dyDescent="0.3">
      <c r="B12" s="713" t="s">
        <v>26</v>
      </c>
      <c r="C12" s="845"/>
      <c r="D12" s="845"/>
      <c r="E12" s="246"/>
      <c r="F12" s="246"/>
      <c r="G12" s="246"/>
      <c r="H12" s="246"/>
      <c r="I12" s="246"/>
      <c r="J12" s="246"/>
      <c r="K12" s="246"/>
    </row>
    <row r="13" spans="2:18" ht="15" customHeight="1" x14ac:dyDescent="0.25">
      <c r="B13" s="896" t="s">
        <v>27</v>
      </c>
      <c r="C13" s="897"/>
      <c r="D13" s="897"/>
      <c r="E13" s="393" t="s">
        <v>28</v>
      </c>
      <c r="F13" s="393" t="s">
        <v>29</v>
      </c>
      <c r="G13" s="393" t="s">
        <v>30</v>
      </c>
      <c r="H13" s="900" t="s">
        <v>395</v>
      </c>
      <c r="I13" s="900"/>
      <c r="J13" s="900"/>
      <c r="K13" s="901"/>
      <c r="L13" s="250"/>
      <c r="M13" s="250"/>
      <c r="N13" s="250"/>
      <c r="O13" s="250"/>
      <c r="P13" s="250"/>
      <c r="Q13" s="250"/>
      <c r="R13" s="250"/>
    </row>
    <row r="14" spans="2:18" ht="15" customHeight="1" x14ac:dyDescent="0.25">
      <c r="B14" s="699" t="s">
        <v>348</v>
      </c>
      <c r="C14" s="700"/>
      <c r="D14" s="700"/>
      <c r="E14" s="161">
        <f>'Common Factors'!D70</f>
        <v>59908448</v>
      </c>
      <c r="F14" s="251" t="s">
        <v>322</v>
      </c>
      <c r="G14" s="256" t="s">
        <v>323</v>
      </c>
      <c r="H14" s="731"/>
      <c r="I14" s="731"/>
      <c r="J14" s="731"/>
      <c r="K14" s="732"/>
      <c r="L14" s="250"/>
      <c r="M14" s="250"/>
      <c r="N14" s="250"/>
      <c r="O14" s="250"/>
      <c r="P14" s="250"/>
      <c r="Q14" s="250"/>
      <c r="R14" s="250"/>
    </row>
    <row r="15" spans="2:18" ht="30" customHeight="1" x14ac:dyDescent="0.25">
      <c r="B15" s="699" t="s">
        <v>549</v>
      </c>
      <c r="C15" s="700"/>
      <c r="D15" s="700"/>
      <c r="E15" s="221">
        <v>0</v>
      </c>
      <c r="F15" s="251" t="s">
        <v>349</v>
      </c>
      <c r="G15" s="256" t="s">
        <v>331</v>
      </c>
      <c r="H15" s="733" t="s">
        <v>474</v>
      </c>
      <c r="I15" s="733"/>
      <c r="J15" s="733"/>
      <c r="K15" s="734"/>
    </row>
    <row r="16" spans="2:18" ht="29.45" customHeight="1" x14ac:dyDescent="0.25">
      <c r="B16" s="699" t="s">
        <v>350</v>
      </c>
      <c r="C16" s="700"/>
      <c r="D16" s="700"/>
      <c r="E16" s="162">
        <f>'Common Factors'!D65</f>
        <v>7.0000000000000007E-2</v>
      </c>
      <c r="F16" s="392"/>
      <c r="G16" s="251" t="s">
        <v>351</v>
      </c>
      <c r="H16" s="731"/>
      <c r="I16" s="731"/>
      <c r="J16" s="731"/>
      <c r="K16" s="732"/>
    </row>
    <row r="17" spans="2:20" ht="29.25" customHeight="1" x14ac:dyDescent="0.3">
      <c r="B17" s="699" t="s">
        <v>318</v>
      </c>
      <c r="C17" s="700"/>
      <c r="D17" s="700"/>
      <c r="E17" s="217">
        <f>'Common Factors'!D68</f>
        <v>6.3801350694767502E-4</v>
      </c>
      <c r="F17" s="251" t="s">
        <v>319</v>
      </c>
      <c r="G17" s="256" t="s">
        <v>352</v>
      </c>
      <c r="H17" s="731"/>
      <c r="I17" s="731"/>
      <c r="J17" s="731"/>
      <c r="K17" s="732"/>
      <c r="Q17" s="246"/>
    </row>
    <row r="18" spans="2:20" ht="19.149999999999999" customHeight="1" x14ac:dyDescent="0.3">
      <c r="B18" s="697" t="s">
        <v>500</v>
      </c>
      <c r="C18" s="698"/>
      <c r="D18" s="698"/>
      <c r="E18" s="221">
        <v>0</v>
      </c>
      <c r="F18" s="251"/>
      <c r="G18" s="256" t="s">
        <v>359</v>
      </c>
      <c r="H18" s="733" t="s">
        <v>552</v>
      </c>
      <c r="I18" s="733"/>
      <c r="J18" s="733"/>
      <c r="K18" s="734"/>
      <c r="L18" s="250"/>
      <c r="M18" s="250"/>
      <c r="N18" s="250"/>
      <c r="O18" s="250"/>
      <c r="P18" s="250"/>
      <c r="Q18" s="250"/>
      <c r="R18" s="250"/>
    </row>
    <row r="19" spans="2:20" ht="17.25" customHeight="1" thickBot="1" x14ac:dyDescent="0.35">
      <c r="B19" s="701" t="s">
        <v>360</v>
      </c>
      <c r="C19" s="702"/>
      <c r="D19" s="702"/>
      <c r="E19" s="387">
        <f>'Common Factors'!D72</f>
        <v>16594640.096000001</v>
      </c>
      <c r="F19" s="353" t="s">
        <v>322</v>
      </c>
      <c r="G19" s="353" t="s">
        <v>361</v>
      </c>
      <c r="H19" s="752"/>
      <c r="I19" s="752"/>
      <c r="J19" s="752"/>
      <c r="K19" s="753"/>
    </row>
    <row r="20" spans="2:20" ht="15.6" customHeight="1" thickBot="1" x14ac:dyDescent="0.35">
      <c r="B20" s="311"/>
      <c r="C20" s="239"/>
      <c r="D20" s="239"/>
      <c r="E20" s="394"/>
      <c r="F20" s="287"/>
      <c r="G20" s="375"/>
      <c r="H20" s="253"/>
      <c r="I20" s="246"/>
      <c r="J20" s="246"/>
      <c r="K20" s="246"/>
      <c r="Q20" s="246"/>
    </row>
    <row r="21" spans="2:20" ht="15" customHeight="1" x14ac:dyDescent="0.3">
      <c r="B21" s="747" t="s">
        <v>25</v>
      </c>
      <c r="C21" s="748"/>
      <c r="D21" s="748"/>
      <c r="E21" s="748"/>
      <c r="F21" s="748"/>
      <c r="G21" s="748"/>
      <c r="H21" s="748"/>
      <c r="I21" s="748"/>
      <c r="J21" s="748"/>
      <c r="K21" s="749"/>
      <c r="L21" s="884"/>
      <c r="M21" s="885"/>
      <c r="N21" s="885"/>
      <c r="O21" s="885"/>
      <c r="P21" s="885"/>
      <c r="Q21" s="885"/>
      <c r="R21" s="885"/>
      <c r="S21" s="885"/>
      <c r="T21" s="885"/>
    </row>
    <row r="22" spans="2:20" ht="15" customHeight="1" x14ac:dyDescent="0.3">
      <c r="B22" s="750" t="s">
        <v>353</v>
      </c>
      <c r="C22" s="662"/>
      <c r="D22" s="662"/>
      <c r="E22" s="662"/>
      <c r="F22" s="662"/>
      <c r="G22" s="662"/>
      <c r="H22" s="662"/>
      <c r="I22" s="662"/>
      <c r="J22" s="662"/>
      <c r="K22" s="751"/>
      <c r="L22" s="884"/>
      <c r="M22" s="885"/>
      <c r="N22" s="885"/>
      <c r="O22" s="885"/>
      <c r="P22" s="885"/>
      <c r="Q22" s="885"/>
      <c r="R22" s="885"/>
      <c r="S22" s="885"/>
      <c r="T22" s="885"/>
    </row>
    <row r="23" spans="2:20" ht="15" customHeight="1" x14ac:dyDescent="0.3">
      <c r="B23" s="750" t="s">
        <v>354</v>
      </c>
      <c r="C23" s="662"/>
      <c r="D23" s="662"/>
      <c r="E23" s="662"/>
      <c r="F23" s="662"/>
      <c r="G23" s="662"/>
      <c r="H23" s="662"/>
      <c r="I23" s="662"/>
      <c r="J23" s="662"/>
      <c r="K23" s="751"/>
      <c r="L23" s="884"/>
      <c r="M23" s="885"/>
      <c r="N23" s="885"/>
      <c r="O23" s="885"/>
      <c r="P23" s="885"/>
      <c r="Q23" s="885"/>
      <c r="R23" s="885"/>
      <c r="S23" s="885"/>
      <c r="T23" s="885"/>
    </row>
    <row r="24" spans="2:20" ht="15" customHeight="1" x14ac:dyDescent="0.3">
      <c r="B24" s="886" t="s">
        <v>355</v>
      </c>
      <c r="C24" s="887"/>
      <c r="D24" s="887"/>
      <c r="E24" s="887"/>
      <c r="F24" s="887"/>
      <c r="G24" s="887"/>
      <c r="H24" s="887"/>
      <c r="I24" s="887"/>
      <c r="J24" s="887"/>
      <c r="K24" s="888"/>
      <c r="L24" s="884"/>
      <c r="M24" s="885"/>
      <c r="N24" s="885"/>
      <c r="O24" s="885"/>
      <c r="P24" s="885"/>
      <c r="Q24" s="885"/>
      <c r="R24" s="885"/>
      <c r="S24" s="885"/>
      <c r="T24" s="885"/>
    </row>
    <row r="25" spans="2:20" ht="15" customHeight="1" x14ac:dyDescent="0.3">
      <c r="B25" s="886" t="s">
        <v>356</v>
      </c>
      <c r="C25" s="887"/>
      <c r="D25" s="887"/>
      <c r="E25" s="887"/>
      <c r="F25" s="887"/>
      <c r="G25" s="887"/>
      <c r="H25" s="887"/>
      <c r="I25" s="887"/>
      <c r="J25" s="887"/>
      <c r="K25" s="888"/>
      <c r="L25" s="884"/>
      <c r="M25" s="885"/>
      <c r="N25" s="885"/>
      <c r="O25" s="885"/>
      <c r="P25" s="885"/>
      <c r="Q25" s="885"/>
      <c r="R25" s="885"/>
      <c r="S25" s="885"/>
      <c r="T25" s="885"/>
    </row>
    <row r="26" spans="2:20" ht="30" customHeight="1" thickBot="1" x14ac:dyDescent="0.35">
      <c r="B26" s="737" t="s">
        <v>357</v>
      </c>
      <c r="C26" s="738"/>
      <c r="D26" s="738"/>
      <c r="E26" s="738"/>
      <c r="F26" s="738"/>
      <c r="G26" s="738"/>
      <c r="H26" s="738"/>
      <c r="I26" s="738"/>
      <c r="J26" s="738"/>
      <c r="K26" s="739"/>
    </row>
    <row r="28" spans="2:20" thickBot="1" x14ac:dyDescent="0.35">
      <c r="B28" s="33"/>
      <c r="C28" s="264"/>
      <c r="D28" s="264"/>
      <c r="E28" s="264"/>
      <c r="F28" s="264"/>
      <c r="G28" s="264"/>
      <c r="H28" s="246"/>
      <c r="I28" s="246"/>
      <c r="J28" s="246"/>
      <c r="K28" s="246"/>
    </row>
    <row r="29" spans="2:20" ht="30" customHeight="1" thickBot="1" x14ac:dyDescent="0.3">
      <c r="B29" s="365" t="s">
        <v>22</v>
      </c>
      <c r="C29" s="799" t="s">
        <v>358</v>
      </c>
      <c r="D29" s="695"/>
      <c r="E29" s="695"/>
      <c r="F29" s="695"/>
      <c r="G29" s="696"/>
      <c r="H29" s="258"/>
      <c r="I29" s="258"/>
      <c r="J29" s="258"/>
      <c r="K29" s="258"/>
    </row>
    <row r="30" spans="2:20" ht="30.6" customHeight="1" thickBot="1" x14ac:dyDescent="0.3">
      <c r="B30" s="274"/>
      <c r="C30" s="689" t="s">
        <v>343</v>
      </c>
      <c r="D30" s="690"/>
      <c r="E30" s="326">
        <f>E14*E15*E16</f>
        <v>0</v>
      </c>
      <c r="F30" s="388" t="s">
        <v>344</v>
      </c>
      <c r="G30" s="332"/>
      <c r="H30" s="323"/>
      <c r="I30" s="323"/>
      <c r="J30" s="323"/>
      <c r="K30" s="323"/>
    </row>
    <row r="31" spans="2:20" ht="30" customHeight="1" thickBot="1" x14ac:dyDescent="0.3">
      <c r="B31" s="265"/>
      <c r="C31" s="694" t="s">
        <v>362</v>
      </c>
      <c r="D31" s="879"/>
      <c r="E31" s="879"/>
      <c r="F31" s="879"/>
      <c r="G31" s="880"/>
      <c r="H31" s="691"/>
      <c r="I31" s="881"/>
      <c r="J31" s="881"/>
      <c r="K31" s="881"/>
    </row>
    <row r="32" spans="2:20" ht="27" customHeight="1" thickBot="1" x14ac:dyDescent="0.3">
      <c r="B32" s="274"/>
      <c r="C32" s="672" t="s">
        <v>343</v>
      </c>
      <c r="D32" s="673"/>
      <c r="E32" s="326">
        <f>LU.1.1!E18*LU.1.1!E19</f>
        <v>0</v>
      </c>
      <c r="F32" s="388" t="s">
        <v>344</v>
      </c>
      <c r="G32" s="332"/>
      <c r="H32" s="323"/>
      <c r="I32" s="323"/>
      <c r="J32" s="323"/>
      <c r="K32" s="323"/>
    </row>
    <row r="33" spans="2:11" ht="15.75" thickBot="1" x14ac:dyDescent="0.3">
      <c r="H33" s="246"/>
      <c r="I33" s="246"/>
      <c r="J33" s="246"/>
      <c r="K33" s="246"/>
    </row>
    <row r="34" spans="2:11" ht="30" customHeight="1" thickBot="1" x14ac:dyDescent="0.3">
      <c r="B34" s="365" t="s">
        <v>35</v>
      </c>
      <c r="C34" s="694" t="s">
        <v>486</v>
      </c>
      <c r="D34" s="879"/>
      <c r="E34" s="879"/>
      <c r="F34" s="879"/>
      <c r="G34" s="880"/>
      <c r="H34" s="882"/>
      <c r="I34" s="883"/>
      <c r="J34" s="883"/>
      <c r="K34" s="246"/>
    </row>
    <row r="35" spans="2:11" ht="45" customHeight="1" thickBot="1" x14ac:dyDescent="0.3">
      <c r="B35" s="274"/>
      <c r="C35" s="672" t="s">
        <v>20</v>
      </c>
      <c r="D35" s="673"/>
      <c r="E35" s="299">
        <f>E30*E17</f>
        <v>0</v>
      </c>
      <c r="F35" s="277" t="s">
        <v>72</v>
      </c>
      <c r="G35" s="278"/>
      <c r="H35" s="255"/>
      <c r="I35" s="255"/>
      <c r="J35" s="255"/>
      <c r="K35" s="255"/>
    </row>
    <row r="36" spans="2:11" ht="30" customHeight="1" thickBot="1" x14ac:dyDescent="0.3">
      <c r="B36" s="265"/>
      <c r="C36" s="694" t="s">
        <v>487</v>
      </c>
      <c r="D36" s="879"/>
      <c r="E36" s="879"/>
      <c r="F36" s="879"/>
      <c r="G36" s="880"/>
      <c r="H36" s="882"/>
      <c r="I36" s="883"/>
      <c r="J36" s="883"/>
      <c r="K36" s="246"/>
    </row>
    <row r="37" spans="2:11" ht="45" customHeight="1" thickBot="1" x14ac:dyDescent="0.3">
      <c r="B37" s="274"/>
      <c r="C37" s="672" t="s">
        <v>20</v>
      </c>
      <c r="D37" s="673"/>
      <c r="E37" s="299">
        <f>E32*LU.1.1!E17</f>
        <v>0</v>
      </c>
      <c r="F37" s="277" t="s">
        <v>72</v>
      </c>
      <c r="G37" s="278"/>
      <c r="H37" s="255"/>
      <c r="I37" s="255"/>
      <c r="J37" s="255"/>
      <c r="K37" s="255"/>
    </row>
  </sheetData>
  <sheetProtection password="DCA2" sheet="1" objects="1" scenarios="1"/>
  <mergeCells count="47">
    <mergeCell ref="B15:D15"/>
    <mergeCell ref="B16:D16"/>
    <mergeCell ref="B1:J1"/>
    <mergeCell ref="C6:K6"/>
    <mergeCell ref="C7:K7"/>
    <mergeCell ref="B12:D12"/>
    <mergeCell ref="E8:K8"/>
    <mergeCell ref="C5:I5"/>
    <mergeCell ref="J5:K5"/>
    <mergeCell ref="E9:K9"/>
    <mergeCell ref="E10:K10"/>
    <mergeCell ref="B8:B10"/>
    <mergeCell ref="B13:D13"/>
    <mergeCell ref="B14:D14"/>
    <mergeCell ref="B2:K2"/>
    <mergeCell ref="H13:K13"/>
    <mergeCell ref="L23:T23"/>
    <mergeCell ref="B24:K24"/>
    <mergeCell ref="L24:T24"/>
    <mergeCell ref="B25:K25"/>
    <mergeCell ref="L25:T25"/>
    <mergeCell ref="B23:K23"/>
    <mergeCell ref="B17:D17"/>
    <mergeCell ref="B21:K21"/>
    <mergeCell ref="L21:T21"/>
    <mergeCell ref="B22:K22"/>
    <mergeCell ref="L22:T22"/>
    <mergeCell ref="B19:D19"/>
    <mergeCell ref="B18:D18"/>
    <mergeCell ref="H19:K19"/>
    <mergeCell ref="C37:D37"/>
    <mergeCell ref="C32:D32"/>
    <mergeCell ref="B26:K26"/>
    <mergeCell ref="C30:D30"/>
    <mergeCell ref="C35:D35"/>
    <mergeCell ref="C29:G29"/>
    <mergeCell ref="C31:G31"/>
    <mergeCell ref="H31:K31"/>
    <mergeCell ref="C34:G34"/>
    <mergeCell ref="H34:J34"/>
    <mergeCell ref="C36:G36"/>
    <mergeCell ref="H36:J36"/>
    <mergeCell ref="H15:K15"/>
    <mergeCell ref="H18:K18"/>
    <mergeCell ref="H16:K16"/>
    <mergeCell ref="H17:K17"/>
    <mergeCell ref="H14:K14"/>
  </mergeCells>
  <dataValidations count="1">
    <dataValidation type="list" allowBlank="1" showInputMessage="1" showErrorMessage="1" sqref="C9:C10">
      <formula1>ImpOptions</formula1>
    </dataValidation>
  </dataValidations>
  <pageMargins left="0.7" right="0.7" top="0.75" bottom="0.75" header="0.3" footer="0.3"/>
  <pageSetup paperSize="0" orientation="portrait" horizontalDpi="0" verticalDpi="0" copies="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R30"/>
  <sheetViews>
    <sheetView zoomScaleNormal="100" workbookViewId="0">
      <selection activeCell="B3" sqref="B3"/>
    </sheetView>
  </sheetViews>
  <sheetFormatPr defaultColWidth="9.140625" defaultRowHeight="15" x14ac:dyDescent="0.25"/>
  <cols>
    <col min="1" max="1" width="1.5703125" style="233" customWidth="1"/>
    <col min="2" max="2" width="22.42578125" style="233" customWidth="1"/>
    <col min="3" max="4" width="15.7109375" style="233" customWidth="1"/>
    <col min="5" max="5" width="12.140625" style="233" customWidth="1"/>
    <col min="6" max="6" width="15.7109375" style="233" customWidth="1"/>
    <col min="7" max="7" width="16.7109375" style="233" customWidth="1"/>
    <col min="8" max="10" width="15.7109375" style="233" customWidth="1"/>
    <col min="11" max="11" width="19.5703125" style="233" customWidth="1"/>
    <col min="12" max="12" width="15.7109375" style="233" customWidth="1"/>
    <col min="13" max="16384" width="9.140625" style="233"/>
  </cols>
  <sheetData>
    <row r="1" spans="2:18" ht="26.25" x14ac:dyDescent="0.25">
      <c r="B1" s="706" t="s">
        <v>391</v>
      </c>
      <c r="C1" s="706"/>
      <c r="D1" s="706"/>
      <c r="E1" s="706"/>
      <c r="F1" s="706"/>
      <c r="G1" s="706"/>
      <c r="H1" s="706"/>
      <c r="I1" s="706"/>
      <c r="J1" s="706"/>
    </row>
    <row r="3" spans="2:18" ht="15" customHeight="1" thickBot="1" x14ac:dyDescent="0.3">
      <c r="B3" s="336">
        <v>41613</v>
      </c>
      <c r="C3" s="235" t="s">
        <v>412</v>
      </c>
    </row>
    <row r="4" spans="2:18" ht="18" customHeight="1" x14ac:dyDescent="0.25">
      <c r="B4" s="371" t="s">
        <v>15</v>
      </c>
      <c r="C4" s="724" t="s">
        <v>363</v>
      </c>
      <c r="D4" s="725"/>
      <c r="E4" s="725"/>
      <c r="F4" s="725"/>
      <c r="G4" s="725"/>
      <c r="H4" s="725"/>
      <c r="I4" s="725"/>
      <c r="J4" s="793"/>
      <c r="K4" s="794"/>
    </row>
    <row r="5" spans="2:18" x14ac:dyDescent="0.25">
      <c r="B5" s="372" t="s">
        <v>0</v>
      </c>
      <c r="C5" s="786" t="s">
        <v>147</v>
      </c>
      <c r="D5" s="787"/>
      <c r="E5" s="787"/>
      <c r="F5" s="787"/>
      <c r="G5" s="787"/>
      <c r="H5" s="787"/>
      <c r="I5" s="787"/>
      <c r="J5" s="787"/>
      <c r="K5" s="788"/>
    </row>
    <row r="6" spans="2:18" ht="35.1" customHeight="1" thickBot="1" x14ac:dyDescent="0.3">
      <c r="B6" s="373" t="s">
        <v>13</v>
      </c>
      <c r="C6" s="707" t="s">
        <v>485</v>
      </c>
      <c r="D6" s="708"/>
      <c r="E6" s="708"/>
      <c r="F6" s="708"/>
      <c r="G6" s="708"/>
      <c r="H6" s="708"/>
      <c r="I6" s="708"/>
      <c r="J6" s="708"/>
      <c r="K6" s="709"/>
    </row>
    <row r="7" spans="2:18" ht="20.45" customHeight="1" x14ac:dyDescent="0.25">
      <c r="B7" s="714" t="s">
        <v>553</v>
      </c>
      <c r="C7" s="324" t="s">
        <v>414</v>
      </c>
      <c r="D7" s="324" t="s">
        <v>413</v>
      </c>
      <c r="E7" s="892" t="s">
        <v>421</v>
      </c>
      <c r="F7" s="893"/>
      <c r="G7" s="893"/>
      <c r="H7" s="893"/>
      <c r="I7" s="893"/>
      <c r="J7" s="893"/>
      <c r="K7" s="894"/>
    </row>
    <row r="8" spans="2:18" ht="30.75" customHeight="1" x14ac:dyDescent="0.25">
      <c r="B8" s="715"/>
      <c r="C8" s="342" t="s">
        <v>442</v>
      </c>
      <c r="D8" s="241">
        <v>2014</v>
      </c>
      <c r="E8" s="596" t="s">
        <v>452</v>
      </c>
      <c r="F8" s="720"/>
      <c r="G8" s="720"/>
      <c r="H8" s="720"/>
      <c r="I8" s="720"/>
      <c r="J8" s="720"/>
      <c r="K8" s="721"/>
    </row>
    <row r="9" spans="2:18" ht="27" customHeight="1" x14ac:dyDescent="0.25">
      <c r="B9" s="715"/>
      <c r="C9" s="228" t="s">
        <v>442</v>
      </c>
      <c r="D9" s="241">
        <v>2014</v>
      </c>
      <c r="E9" s="596" t="s">
        <v>453</v>
      </c>
      <c r="F9" s="720"/>
      <c r="G9" s="720"/>
      <c r="H9" s="720"/>
      <c r="I9" s="720"/>
      <c r="J9" s="720"/>
      <c r="K9" s="721"/>
    </row>
    <row r="10" spans="2:18" ht="27" customHeight="1" x14ac:dyDescent="0.25">
      <c r="B10" s="715"/>
      <c r="C10" s="228" t="s">
        <v>442</v>
      </c>
      <c r="D10" s="241">
        <v>2014</v>
      </c>
      <c r="E10" s="596" t="s">
        <v>454</v>
      </c>
      <c r="F10" s="720"/>
      <c r="G10" s="720"/>
      <c r="H10" s="720"/>
      <c r="I10" s="720"/>
      <c r="J10" s="720"/>
      <c r="K10" s="721"/>
    </row>
    <row r="11" spans="2:18" ht="29.45" customHeight="1" thickBot="1" x14ac:dyDescent="0.3">
      <c r="B11" s="716"/>
      <c r="C11" s="231" t="s">
        <v>443</v>
      </c>
      <c r="D11" s="242">
        <v>2014</v>
      </c>
      <c r="E11" s="599" t="s">
        <v>455</v>
      </c>
      <c r="F11" s="722"/>
      <c r="G11" s="722"/>
      <c r="H11" s="722"/>
      <c r="I11" s="722"/>
      <c r="J11" s="722"/>
      <c r="K11" s="723"/>
    </row>
    <row r="12" spans="2:18" x14ac:dyDescent="0.25">
      <c r="C12" s="33"/>
      <c r="E12" s="246"/>
      <c r="F12" s="202"/>
      <c r="G12" s="246"/>
    </row>
    <row r="13" spans="2:18" ht="15.75" customHeight="1" thickBot="1" x14ac:dyDescent="0.3">
      <c r="B13" s="713" t="s">
        <v>26</v>
      </c>
      <c r="C13" s="845"/>
      <c r="D13" s="845"/>
      <c r="E13" s="246"/>
      <c r="F13" s="246"/>
      <c r="G13" s="246"/>
      <c r="H13" s="246"/>
      <c r="I13" s="246"/>
      <c r="J13" s="246"/>
      <c r="K13" s="246"/>
    </row>
    <row r="14" spans="2:18" ht="15" customHeight="1" x14ac:dyDescent="0.25">
      <c r="B14" s="896" t="s">
        <v>27</v>
      </c>
      <c r="C14" s="897"/>
      <c r="D14" s="897"/>
      <c r="E14" s="393" t="s">
        <v>28</v>
      </c>
      <c r="F14" s="393" t="s">
        <v>29</v>
      </c>
      <c r="G14" s="393" t="s">
        <v>30</v>
      </c>
      <c r="H14" s="900" t="s">
        <v>395</v>
      </c>
      <c r="I14" s="900"/>
      <c r="J14" s="900"/>
      <c r="K14" s="901"/>
      <c r="L14" s="250"/>
      <c r="M14" s="250"/>
      <c r="N14" s="250"/>
      <c r="O14" s="250"/>
      <c r="P14" s="250"/>
      <c r="Q14" s="250"/>
      <c r="R14" s="250"/>
    </row>
    <row r="15" spans="2:18" ht="15" customHeight="1" x14ac:dyDescent="0.25">
      <c r="B15" s="775" t="s">
        <v>364</v>
      </c>
      <c r="C15" s="776"/>
      <c r="D15" s="777"/>
      <c r="E15" s="327">
        <v>344.41629999999998</v>
      </c>
      <c r="F15" s="251" t="s">
        <v>163</v>
      </c>
      <c r="G15" s="256" t="s">
        <v>365</v>
      </c>
      <c r="H15" s="731"/>
      <c r="I15" s="731"/>
      <c r="J15" s="731"/>
      <c r="K15" s="732"/>
      <c r="L15" s="250"/>
      <c r="M15" s="250"/>
      <c r="N15" s="250"/>
      <c r="O15" s="250"/>
      <c r="P15" s="250"/>
      <c r="Q15" s="250"/>
      <c r="R15" s="250"/>
    </row>
    <row r="16" spans="2:18" ht="15" customHeight="1" x14ac:dyDescent="0.25">
      <c r="B16" s="775" t="s">
        <v>559</v>
      </c>
      <c r="C16" s="776"/>
      <c r="D16" s="777"/>
      <c r="E16" s="161">
        <v>7437</v>
      </c>
      <c r="F16" s="251" t="s">
        <v>366</v>
      </c>
      <c r="G16" s="256" t="s">
        <v>367</v>
      </c>
      <c r="H16" s="731"/>
      <c r="I16" s="731"/>
      <c r="J16" s="731"/>
      <c r="K16" s="732"/>
      <c r="L16" s="250"/>
      <c r="M16" s="250"/>
      <c r="N16" s="250"/>
      <c r="O16" s="250"/>
      <c r="P16" s="250"/>
      <c r="Q16" s="250"/>
      <c r="R16" s="250"/>
    </row>
    <row r="17" spans="2:18" ht="35.25" customHeight="1" x14ac:dyDescent="0.25">
      <c r="B17" s="775" t="s">
        <v>368</v>
      </c>
      <c r="C17" s="776"/>
      <c r="D17" s="777"/>
      <c r="E17" s="328">
        <f>E15/E16</f>
        <v>4.6311187306709689E-2</v>
      </c>
      <c r="F17" s="251" t="s">
        <v>163</v>
      </c>
      <c r="G17" s="256" t="s">
        <v>369</v>
      </c>
      <c r="H17" s="731"/>
      <c r="I17" s="731"/>
      <c r="J17" s="731"/>
      <c r="K17" s="732"/>
      <c r="L17" s="250"/>
      <c r="M17" s="250"/>
      <c r="N17" s="250"/>
      <c r="O17" s="250"/>
      <c r="P17" s="250"/>
      <c r="Q17" s="250"/>
      <c r="R17" s="250"/>
    </row>
    <row r="18" spans="2:18" ht="32.25" customHeight="1" x14ac:dyDescent="0.25">
      <c r="B18" s="775" t="s">
        <v>370</v>
      </c>
      <c r="C18" s="776"/>
      <c r="D18" s="777"/>
      <c r="E18" s="329">
        <v>408.79</v>
      </c>
      <c r="F18" s="251" t="s">
        <v>163</v>
      </c>
      <c r="G18" s="256" t="s">
        <v>371</v>
      </c>
      <c r="H18" s="731" t="s">
        <v>372</v>
      </c>
      <c r="I18" s="731"/>
      <c r="J18" s="731"/>
      <c r="K18" s="732"/>
      <c r="L18" s="250"/>
      <c r="M18" s="250"/>
      <c r="N18" s="250"/>
      <c r="O18" s="250"/>
      <c r="P18" s="250"/>
      <c r="Q18" s="250"/>
      <c r="R18" s="250"/>
    </row>
    <row r="19" spans="2:18" ht="19.5" customHeight="1" x14ac:dyDescent="0.25">
      <c r="B19" s="775" t="s">
        <v>373</v>
      </c>
      <c r="C19" s="776"/>
      <c r="D19" s="777"/>
      <c r="E19" s="161">
        <v>8287</v>
      </c>
      <c r="F19" s="251" t="s">
        <v>366</v>
      </c>
      <c r="G19" s="256" t="s">
        <v>374</v>
      </c>
      <c r="H19" s="731" t="s">
        <v>541</v>
      </c>
      <c r="I19" s="731"/>
      <c r="J19" s="731"/>
      <c r="K19" s="732"/>
      <c r="L19" s="250"/>
      <c r="M19" s="250"/>
      <c r="N19" s="250"/>
      <c r="O19" s="250"/>
      <c r="P19" s="250"/>
      <c r="Q19" s="250"/>
      <c r="R19" s="250"/>
    </row>
    <row r="20" spans="2:18" ht="33" customHeight="1" x14ac:dyDescent="0.25">
      <c r="B20" s="775" t="s">
        <v>375</v>
      </c>
      <c r="C20" s="776"/>
      <c r="D20" s="777"/>
      <c r="E20" s="328">
        <f>E18/E19</f>
        <v>4.9329069627126826E-2</v>
      </c>
      <c r="F20" s="251" t="s">
        <v>163</v>
      </c>
      <c r="G20" s="256" t="s">
        <v>376</v>
      </c>
      <c r="H20" s="731"/>
      <c r="I20" s="731"/>
      <c r="J20" s="731"/>
      <c r="K20" s="732"/>
      <c r="L20" s="250"/>
      <c r="M20" s="250"/>
      <c r="N20" s="250"/>
      <c r="O20" s="250"/>
      <c r="P20" s="250"/>
      <c r="Q20" s="250"/>
      <c r="R20" s="250"/>
    </row>
    <row r="21" spans="2:18" ht="33.75" customHeight="1" thickBot="1" x14ac:dyDescent="0.35">
      <c r="B21" s="778" t="s">
        <v>510</v>
      </c>
      <c r="C21" s="779"/>
      <c r="D21" s="780"/>
      <c r="E21" s="397">
        <v>0</v>
      </c>
      <c r="F21" s="353" t="s">
        <v>65</v>
      </c>
      <c r="G21" s="354" t="s">
        <v>377</v>
      </c>
      <c r="H21" s="902" t="s">
        <v>460</v>
      </c>
      <c r="I21" s="902"/>
      <c r="J21" s="902"/>
      <c r="K21" s="903"/>
    </row>
    <row r="22" spans="2:18" thickBot="1" x14ac:dyDescent="0.35"/>
    <row r="23" spans="2:18" ht="46.5" customHeight="1" thickBot="1" x14ac:dyDescent="0.35">
      <c r="B23" s="365" t="s">
        <v>560</v>
      </c>
      <c r="C23" s="799" t="s">
        <v>378</v>
      </c>
      <c r="D23" s="695"/>
      <c r="E23" s="695"/>
      <c r="F23" s="695"/>
      <c r="G23" s="696"/>
      <c r="H23" s="258"/>
      <c r="I23" s="258"/>
      <c r="J23" s="258"/>
      <c r="K23" s="258"/>
    </row>
    <row r="24" spans="2:18" thickBot="1" x14ac:dyDescent="0.35">
      <c r="B24" s="274"/>
      <c r="C24" s="672" t="s">
        <v>379</v>
      </c>
      <c r="D24" s="673"/>
      <c r="E24" s="299">
        <f>E17*E16*E21</f>
        <v>0</v>
      </c>
      <c r="F24" s="277" t="s">
        <v>72</v>
      </c>
      <c r="G24" s="332"/>
      <c r="H24" s="323"/>
      <c r="I24" s="323"/>
      <c r="J24" s="323"/>
      <c r="K24" s="323"/>
    </row>
    <row r="30" spans="2:18" x14ac:dyDescent="0.25">
      <c r="H30" s="330"/>
    </row>
  </sheetData>
  <sheetProtection password="DCA2" sheet="1" objects="1" scenarios="1"/>
  <mergeCells count="29">
    <mergeCell ref="H14:K14"/>
    <mergeCell ref="H21:K21"/>
    <mergeCell ref="H18:K18"/>
    <mergeCell ref="H19:K19"/>
    <mergeCell ref="B13:D13"/>
    <mergeCell ref="H20:K20"/>
    <mergeCell ref="H15:K15"/>
    <mergeCell ref="H16:K16"/>
    <mergeCell ref="H17:K17"/>
    <mergeCell ref="B7:B11"/>
    <mergeCell ref="E7:K7"/>
    <mergeCell ref="B1:J1"/>
    <mergeCell ref="C5:K5"/>
    <mergeCell ref="C6:K6"/>
    <mergeCell ref="E10:K10"/>
    <mergeCell ref="E11:K11"/>
    <mergeCell ref="C4:K4"/>
    <mergeCell ref="E8:K8"/>
    <mergeCell ref="E9:K9"/>
    <mergeCell ref="C24:D24"/>
    <mergeCell ref="B14:D14"/>
    <mergeCell ref="B15:D15"/>
    <mergeCell ref="B16:D16"/>
    <mergeCell ref="B17:D17"/>
    <mergeCell ref="B20:D20"/>
    <mergeCell ref="B21:D21"/>
    <mergeCell ref="B18:D18"/>
    <mergeCell ref="B19:D19"/>
    <mergeCell ref="C23:G23"/>
  </mergeCells>
  <dataValidations count="1">
    <dataValidation type="list" allowBlank="1" showInputMessage="1" showErrorMessage="1" sqref="C8:C11">
      <formula1>ImpOptions</formula1>
    </dataValidation>
  </dataValidations>
  <pageMargins left="0.7" right="0.7" top="0.75" bottom="0.75" header="0.3" footer="0.3"/>
  <pageSetup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8"/>
  <sheetViews>
    <sheetView workbookViewId="0">
      <selection activeCell="E51" sqref="E51"/>
    </sheetView>
  </sheetViews>
  <sheetFormatPr defaultRowHeight="15" x14ac:dyDescent="0.25"/>
  <cols>
    <col min="1" max="1" width="5.28515625" customWidth="1"/>
    <col min="2" max="2" width="34.5703125" customWidth="1"/>
    <col min="3" max="6" width="15.7109375" customWidth="1"/>
    <col min="7" max="7" width="16.7109375" customWidth="1"/>
    <col min="8" max="15" width="15.7109375" customWidth="1"/>
  </cols>
  <sheetData>
    <row r="1" spans="2:42" ht="26.25" x14ac:dyDescent="0.25">
      <c r="B1" s="640" t="s">
        <v>118</v>
      </c>
      <c r="C1" s="640"/>
      <c r="D1" s="640"/>
      <c r="E1" s="640"/>
      <c r="F1" s="640"/>
      <c r="G1" s="640"/>
      <c r="H1" s="640"/>
      <c r="I1" s="640"/>
      <c r="J1" s="640"/>
    </row>
    <row r="2" spans="2:42" ht="15.75" thickBot="1" x14ac:dyDescent="0.3"/>
    <row r="3" spans="2:42" ht="15" customHeight="1" x14ac:dyDescent="0.25">
      <c r="B3" s="5" t="s">
        <v>15</v>
      </c>
      <c r="C3" s="927" t="s">
        <v>103</v>
      </c>
      <c r="D3" s="625"/>
      <c r="E3" s="625"/>
      <c r="F3" s="625"/>
      <c r="G3" s="625"/>
      <c r="H3" s="625"/>
      <c r="I3" s="625"/>
      <c r="J3" s="625"/>
      <c r="K3" s="626"/>
    </row>
    <row r="4" spans="2:42" x14ac:dyDescent="0.25">
      <c r="B4" s="4" t="s">
        <v>0</v>
      </c>
      <c r="C4" s="928" t="s">
        <v>1</v>
      </c>
      <c r="D4" s="929"/>
      <c r="E4" s="929"/>
      <c r="F4" s="929"/>
      <c r="G4" s="929"/>
      <c r="H4" s="929"/>
      <c r="I4" s="929"/>
      <c r="J4" s="929"/>
      <c r="K4" s="930"/>
    </row>
    <row r="5" spans="2:42" ht="68.25" customHeight="1" x14ac:dyDescent="0.25">
      <c r="B5" s="931" t="s">
        <v>13</v>
      </c>
      <c r="C5" s="933" t="s">
        <v>104</v>
      </c>
      <c r="D5" s="934"/>
      <c r="E5" s="934"/>
      <c r="F5" s="934"/>
      <c r="G5" s="934"/>
      <c r="H5" s="934"/>
      <c r="I5" s="934"/>
      <c r="J5" s="934"/>
      <c r="K5" s="935"/>
    </row>
    <row r="6" spans="2:42" ht="56.25" customHeight="1" thickBot="1" x14ac:dyDescent="0.3">
      <c r="B6" s="932"/>
      <c r="C6" s="936"/>
      <c r="D6" s="937"/>
      <c r="E6" s="937"/>
      <c r="F6" s="937"/>
      <c r="G6" s="937"/>
      <c r="H6" s="937"/>
      <c r="I6" s="937"/>
      <c r="J6" s="937"/>
      <c r="K6" s="938"/>
    </row>
    <row r="7" spans="2:42" x14ac:dyDescent="0.25">
      <c r="C7" s="33"/>
      <c r="F7" s="33"/>
    </row>
    <row r="8" spans="2:42" x14ac:dyDescent="0.25">
      <c r="C8" s="33"/>
      <c r="E8" s="3"/>
      <c r="F8" s="18"/>
      <c r="G8" s="3"/>
    </row>
    <row r="9" spans="2:42" ht="15.75" customHeight="1" x14ac:dyDescent="0.25">
      <c r="B9" s="602" t="s">
        <v>26</v>
      </c>
      <c r="C9" s="603"/>
      <c r="D9" s="603"/>
      <c r="E9" s="77"/>
      <c r="F9" s="77"/>
      <c r="G9" s="78"/>
      <c r="H9" s="8"/>
      <c r="I9" s="8"/>
      <c r="J9" s="44"/>
      <c r="K9" s="44"/>
      <c r="L9" s="44"/>
      <c r="M9" s="44"/>
      <c r="N9" s="44"/>
      <c r="O9" s="44"/>
      <c r="P9" s="44"/>
      <c r="Q9" s="44"/>
      <c r="R9" s="8"/>
      <c r="S9" s="8"/>
      <c r="T9" s="8"/>
      <c r="U9" s="8"/>
      <c r="V9" s="8"/>
      <c r="W9" s="8"/>
      <c r="X9" s="8"/>
      <c r="Y9" s="8"/>
      <c r="Z9" s="8"/>
      <c r="AA9" s="8"/>
      <c r="AB9" s="8"/>
      <c r="AC9" s="8"/>
      <c r="AD9" s="8"/>
      <c r="AE9" s="8"/>
      <c r="AF9" s="8"/>
      <c r="AG9" s="8"/>
    </row>
    <row r="10" spans="2:42" ht="15" customHeight="1" x14ac:dyDescent="0.25">
      <c r="B10" s="924" t="s">
        <v>27</v>
      </c>
      <c r="C10" s="925"/>
      <c r="D10" s="926"/>
      <c r="E10" s="23" t="s">
        <v>28</v>
      </c>
      <c r="F10" s="17" t="s">
        <v>29</v>
      </c>
      <c r="G10" s="16" t="s">
        <v>30</v>
      </c>
      <c r="H10" s="8"/>
      <c r="I10" s="8"/>
      <c r="J10" s="44"/>
      <c r="K10" s="44"/>
      <c r="L10" s="44"/>
      <c r="M10" s="44"/>
      <c r="N10" s="44"/>
      <c r="O10" s="44"/>
      <c r="P10" s="44"/>
      <c r="Q10" s="44"/>
      <c r="R10" s="44"/>
      <c r="S10" s="8"/>
      <c r="T10" s="8"/>
      <c r="U10" s="8"/>
      <c r="V10" s="8"/>
      <c r="W10" s="8"/>
      <c r="X10" s="8"/>
      <c r="Y10" s="8"/>
      <c r="Z10" s="8"/>
      <c r="AA10" s="8"/>
      <c r="AB10" s="8"/>
      <c r="AC10" s="8"/>
      <c r="AD10" s="8"/>
      <c r="AE10" s="8"/>
      <c r="AF10" s="8"/>
      <c r="AG10" s="8"/>
    </row>
    <row r="11" spans="2:42" ht="15" customHeight="1" x14ac:dyDescent="0.35">
      <c r="B11" s="550" t="s">
        <v>70</v>
      </c>
      <c r="C11" s="551"/>
      <c r="D11" s="552"/>
      <c r="E11" s="86" t="e">
        <f>0*#REF!</f>
        <v>#REF!</v>
      </c>
      <c r="F11" s="30" t="s">
        <v>63</v>
      </c>
      <c r="G11" s="15" t="s">
        <v>71</v>
      </c>
      <c r="H11" s="90" t="s">
        <v>108</v>
      </c>
      <c r="I11" s="8"/>
      <c r="J11" s="8"/>
      <c r="K11" s="44"/>
      <c r="L11" s="44"/>
      <c r="M11" s="44"/>
      <c r="N11" s="44"/>
      <c r="O11" s="44"/>
      <c r="P11" s="44"/>
      <c r="Q11" s="44"/>
      <c r="R11" s="44"/>
    </row>
    <row r="12" spans="2:42" ht="15" customHeight="1" x14ac:dyDescent="0.35">
      <c r="B12" s="550" t="s">
        <v>84</v>
      </c>
      <c r="C12" s="551"/>
      <c r="D12" s="552"/>
      <c r="E12" s="86" t="e">
        <f>0*#REF!</f>
        <v>#REF!</v>
      </c>
      <c r="F12" s="30" t="s">
        <v>63</v>
      </c>
      <c r="G12" s="15" t="s">
        <v>85</v>
      </c>
      <c r="H12" s="90" t="s">
        <v>109</v>
      </c>
      <c r="I12" s="8"/>
      <c r="J12" s="8"/>
      <c r="K12" s="44"/>
      <c r="L12" s="44"/>
      <c r="M12" s="44"/>
      <c r="N12" s="44"/>
      <c r="O12" s="44"/>
      <c r="P12" s="44"/>
      <c r="Q12" s="44"/>
      <c r="R12" s="44"/>
    </row>
    <row r="13" spans="2:42" ht="17.25" customHeight="1" x14ac:dyDescent="0.25">
      <c r="B13" s="550" t="s">
        <v>64</v>
      </c>
      <c r="C13" s="551"/>
      <c r="D13" s="552"/>
      <c r="E13" s="87">
        <v>0.15</v>
      </c>
      <c r="F13" s="30" t="s">
        <v>65</v>
      </c>
      <c r="G13" s="14" t="s">
        <v>31</v>
      </c>
      <c r="H13" s="8"/>
      <c r="I13" s="44"/>
      <c r="J13" s="44"/>
      <c r="K13" s="40"/>
      <c r="L13" s="40"/>
      <c r="M13" s="40"/>
      <c r="N13" s="40"/>
      <c r="O13" s="40"/>
      <c r="P13" s="40"/>
      <c r="Q13" s="40"/>
      <c r="R13" s="40"/>
      <c r="S13" s="8"/>
      <c r="T13" s="8"/>
      <c r="U13" s="8"/>
      <c r="V13" s="8"/>
      <c r="W13" s="8"/>
      <c r="X13" s="8"/>
      <c r="Y13" s="8"/>
      <c r="Z13" s="8"/>
      <c r="AA13" s="8"/>
      <c r="AB13" s="8"/>
      <c r="AC13" s="8"/>
      <c r="AD13" s="8"/>
      <c r="AE13" s="8"/>
      <c r="AF13" s="8"/>
      <c r="AG13" s="8"/>
      <c r="AH13" s="8"/>
      <c r="AI13" s="8"/>
      <c r="AJ13" s="8"/>
      <c r="AK13" s="8"/>
      <c r="AL13" s="8"/>
      <c r="AM13" s="8"/>
      <c r="AN13" s="8"/>
      <c r="AO13" s="8"/>
      <c r="AP13" s="8"/>
    </row>
    <row r="14" spans="2:42" ht="17.25" customHeight="1" x14ac:dyDescent="0.25">
      <c r="B14" s="550" t="s">
        <v>66</v>
      </c>
      <c r="C14" s="551"/>
      <c r="D14" s="552"/>
      <c r="E14" s="87">
        <v>0.3</v>
      </c>
      <c r="F14" s="30" t="s">
        <v>65</v>
      </c>
      <c r="G14" s="15" t="s">
        <v>32</v>
      </c>
      <c r="H14" s="8"/>
      <c r="I14" s="44"/>
      <c r="J14" s="45"/>
      <c r="K14" s="40"/>
      <c r="L14" s="40"/>
      <c r="M14" s="40"/>
      <c r="N14" s="40"/>
      <c r="O14" s="40"/>
      <c r="P14" s="40"/>
      <c r="Q14" s="40"/>
      <c r="R14" s="40"/>
      <c r="S14" s="8"/>
      <c r="T14" s="8"/>
      <c r="U14" s="8"/>
      <c r="V14" s="8"/>
      <c r="W14" s="8"/>
      <c r="X14" s="8"/>
      <c r="Y14" s="8"/>
      <c r="Z14" s="8"/>
      <c r="AA14" s="8"/>
      <c r="AB14" s="8"/>
      <c r="AC14" s="8"/>
      <c r="AD14" s="8"/>
      <c r="AE14" s="8"/>
      <c r="AF14" s="8"/>
      <c r="AG14" s="8"/>
      <c r="AH14" s="8"/>
      <c r="AI14" s="8"/>
      <c r="AJ14" s="8"/>
      <c r="AK14" s="8"/>
      <c r="AL14" s="8"/>
      <c r="AM14" s="8"/>
      <c r="AN14" s="8"/>
      <c r="AO14" s="8"/>
      <c r="AP14" s="8"/>
    </row>
    <row r="15" spans="2:42" ht="15" customHeight="1" x14ac:dyDescent="0.25">
      <c r="B15" s="921" t="s">
        <v>116</v>
      </c>
      <c r="C15" s="922"/>
      <c r="D15" s="923"/>
      <c r="E15" s="60" t="e">
        <f>#REF!</f>
        <v>#REF!</v>
      </c>
      <c r="F15" s="37" t="s">
        <v>4</v>
      </c>
      <c r="G15" s="15" t="s">
        <v>67</v>
      </c>
      <c r="H15" s="8"/>
      <c r="I15" s="8"/>
      <c r="J15" s="8"/>
      <c r="K15" s="8"/>
    </row>
    <row r="16" spans="2:42" ht="15" customHeight="1" x14ac:dyDescent="0.25">
      <c r="B16" s="921" t="s">
        <v>117</v>
      </c>
      <c r="C16" s="922"/>
      <c r="D16" s="923"/>
      <c r="E16" s="60" t="e">
        <f>#REF!</f>
        <v>#REF!</v>
      </c>
      <c r="F16" s="37" t="s">
        <v>5</v>
      </c>
      <c r="G16" s="15" t="s">
        <v>68</v>
      </c>
      <c r="H16" s="8"/>
      <c r="I16" s="8"/>
      <c r="J16" s="8"/>
      <c r="K16" s="8"/>
    </row>
    <row r="17" spans="2:12" ht="15" customHeight="1" x14ac:dyDescent="0.3">
      <c r="B17" s="550" t="s">
        <v>98</v>
      </c>
      <c r="C17" s="551"/>
      <c r="D17" s="552"/>
      <c r="E17" s="60" t="e">
        <f>#REF!</f>
        <v>#REF!</v>
      </c>
      <c r="F17" s="37" t="s">
        <v>37</v>
      </c>
      <c r="G17" s="15" t="s">
        <v>40</v>
      </c>
      <c r="H17" s="8"/>
      <c r="I17" s="8"/>
      <c r="J17" s="8"/>
      <c r="K17" s="8"/>
    </row>
    <row r="18" spans="2:12" ht="15" customHeight="1" x14ac:dyDescent="0.3">
      <c r="B18" s="550" t="s">
        <v>107</v>
      </c>
      <c r="C18" s="551"/>
      <c r="D18" s="552"/>
      <c r="E18" s="60" t="e">
        <f>#REF!</f>
        <v>#REF!</v>
      </c>
      <c r="F18" s="37" t="s">
        <v>38</v>
      </c>
      <c r="G18" s="15" t="s">
        <v>39</v>
      </c>
      <c r="I18" s="33"/>
    </row>
    <row r="19" spans="2:12" ht="14.45" x14ac:dyDescent="0.3">
      <c r="B19" s="32"/>
      <c r="C19" s="3"/>
      <c r="D19" s="47"/>
      <c r="E19" s="47"/>
      <c r="F19" s="47"/>
      <c r="G19" s="47"/>
      <c r="H19" s="47"/>
      <c r="I19" s="47"/>
      <c r="J19" s="47"/>
      <c r="K19" s="47"/>
      <c r="L19" s="8"/>
    </row>
    <row r="20" spans="2:12" ht="15" customHeight="1" x14ac:dyDescent="0.3">
      <c r="B20" s="602" t="s">
        <v>25</v>
      </c>
      <c r="C20" s="603"/>
      <c r="D20" s="603"/>
      <c r="E20" s="603"/>
      <c r="F20" s="603"/>
      <c r="G20" s="603"/>
      <c r="H20" s="603"/>
      <c r="I20" s="603"/>
      <c r="J20" s="603"/>
      <c r="K20" s="604"/>
    </row>
    <row r="21" spans="2:12" ht="15" customHeight="1" x14ac:dyDescent="0.3">
      <c r="B21" s="605" t="s">
        <v>45</v>
      </c>
      <c r="C21" s="606"/>
      <c r="D21" s="606"/>
      <c r="E21" s="606"/>
      <c r="F21" s="606"/>
      <c r="G21" s="606"/>
      <c r="H21" s="606"/>
      <c r="I21" s="606"/>
      <c r="J21" s="606"/>
      <c r="K21" s="607"/>
    </row>
    <row r="22" spans="2:12" ht="15" customHeight="1" x14ac:dyDescent="0.3">
      <c r="B22" s="608" t="s">
        <v>50</v>
      </c>
      <c r="C22" s="566"/>
      <c r="D22" s="566"/>
      <c r="E22" s="566"/>
      <c r="F22" s="566"/>
      <c r="G22" s="566"/>
      <c r="H22" s="566"/>
      <c r="I22" s="566"/>
      <c r="J22" s="566"/>
      <c r="K22" s="609"/>
    </row>
    <row r="23" spans="2:12" ht="15" customHeight="1" x14ac:dyDescent="0.3">
      <c r="B23" s="919"/>
      <c r="C23" s="569"/>
      <c r="D23" s="569"/>
      <c r="E23" s="569"/>
      <c r="F23" s="569"/>
      <c r="G23" s="569"/>
      <c r="H23" s="569"/>
      <c r="I23" s="569"/>
      <c r="J23" s="569"/>
      <c r="K23" s="920"/>
    </row>
    <row r="24" spans="2:12" ht="15" customHeight="1" x14ac:dyDescent="0.3">
      <c r="B24" s="919"/>
      <c r="C24" s="569"/>
      <c r="D24" s="569"/>
      <c r="E24" s="569"/>
      <c r="F24" s="569"/>
      <c r="G24" s="569"/>
      <c r="H24" s="569"/>
      <c r="I24" s="569"/>
      <c r="J24" s="569"/>
      <c r="K24" s="920"/>
    </row>
    <row r="25" spans="2:12" ht="15" customHeight="1" x14ac:dyDescent="0.3">
      <c r="B25" s="605"/>
      <c r="C25" s="606"/>
      <c r="D25" s="606"/>
      <c r="E25" s="606"/>
      <c r="F25" s="606"/>
      <c r="G25" s="606"/>
      <c r="H25" s="606"/>
      <c r="I25" s="606"/>
      <c r="J25" s="606"/>
      <c r="K25" s="607"/>
    </row>
    <row r="26" spans="2:12" ht="15" customHeight="1" x14ac:dyDescent="0.3">
      <c r="B26" s="605"/>
      <c r="C26" s="606"/>
      <c r="D26" s="606"/>
      <c r="E26" s="606"/>
      <c r="F26" s="606"/>
      <c r="G26" s="606"/>
      <c r="H26" s="606"/>
      <c r="I26" s="606"/>
      <c r="J26" s="606"/>
      <c r="K26" s="607"/>
    </row>
    <row r="28" spans="2:12" thickBot="1" x14ac:dyDescent="0.35">
      <c r="B28" s="33"/>
      <c r="C28" s="6"/>
      <c r="D28" s="6"/>
      <c r="E28" s="6"/>
      <c r="F28" s="6"/>
      <c r="G28" s="6"/>
      <c r="H28" s="6"/>
      <c r="I28" s="6"/>
      <c r="J28" s="6"/>
      <c r="K28" s="6"/>
    </row>
    <row r="29" spans="2:12" ht="75" customHeight="1" x14ac:dyDescent="0.25">
      <c r="B29" s="25" t="s">
        <v>22</v>
      </c>
      <c r="C29" s="914" t="s">
        <v>86</v>
      </c>
      <c r="D29" s="915"/>
      <c r="E29" s="915"/>
      <c r="F29" s="915"/>
      <c r="G29" s="915"/>
      <c r="H29" s="915"/>
      <c r="I29" s="915"/>
      <c r="J29" s="915"/>
      <c r="K29" s="916"/>
    </row>
    <row r="30" spans="2:12" ht="45" customHeight="1" x14ac:dyDescent="0.25">
      <c r="B30" s="25"/>
      <c r="C30" s="917" t="s">
        <v>53</v>
      </c>
      <c r="D30" s="918"/>
      <c r="E30" s="50" t="e">
        <f>E13*E11*E15</f>
        <v>#REF!</v>
      </c>
      <c r="F30" s="84" t="s">
        <v>55</v>
      </c>
      <c r="G30" s="83"/>
      <c r="H30" s="911"/>
      <c r="I30" s="911"/>
      <c r="J30" s="911"/>
      <c r="K30" s="912"/>
    </row>
    <row r="31" spans="2:12" ht="45" customHeight="1" x14ac:dyDescent="0.25">
      <c r="B31" s="25"/>
      <c r="C31" s="583" t="s">
        <v>54</v>
      </c>
      <c r="D31" s="586"/>
      <c r="E31" s="34" t="e">
        <f>E14*E11*E16</f>
        <v>#REF!</v>
      </c>
      <c r="F31" s="79" t="s">
        <v>69</v>
      </c>
      <c r="G31" s="83"/>
      <c r="H31" s="551"/>
      <c r="I31" s="551"/>
      <c r="J31" s="551"/>
      <c r="K31" s="910"/>
    </row>
    <row r="32" spans="2:12" ht="45" customHeight="1" x14ac:dyDescent="0.25">
      <c r="B32" s="8"/>
      <c r="C32" s="622" t="s">
        <v>57</v>
      </c>
      <c r="D32" s="623"/>
      <c r="E32" s="49" t="e">
        <f>E13*E12*E15</f>
        <v>#REF!</v>
      </c>
      <c r="F32" s="84" t="s">
        <v>55</v>
      </c>
      <c r="G32" s="76"/>
      <c r="H32" s="911"/>
      <c r="I32" s="911"/>
      <c r="J32" s="911"/>
      <c r="K32" s="912"/>
    </row>
    <row r="33" spans="1:11" ht="45" customHeight="1" thickBot="1" x14ac:dyDescent="0.3">
      <c r="B33" s="8"/>
      <c r="C33" s="583" t="s">
        <v>58</v>
      </c>
      <c r="D33" s="586"/>
      <c r="E33" s="13" t="e">
        <f>E14*E12*E16</f>
        <v>#REF!</v>
      </c>
      <c r="F33" s="82" t="s">
        <v>69</v>
      </c>
      <c r="G33" s="81"/>
      <c r="H33" s="579"/>
      <c r="I33" s="579"/>
      <c r="J33" s="579"/>
      <c r="K33" s="913"/>
    </row>
    <row r="34" spans="1:11" x14ac:dyDescent="0.25">
      <c r="C34" s="9"/>
      <c r="D34" s="9"/>
      <c r="E34" s="9"/>
      <c r="G34" s="9"/>
    </row>
    <row r="35" spans="1:11" ht="15.75" thickBot="1" x14ac:dyDescent="0.3"/>
    <row r="36" spans="1:11" ht="30" customHeight="1" x14ac:dyDescent="0.25">
      <c r="B36" s="25" t="s">
        <v>35</v>
      </c>
      <c r="C36" s="581" t="s">
        <v>41</v>
      </c>
      <c r="D36" s="581"/>
      <c r="E36" s="581"/>
      <c r="F36" s="581"/>
      <c r="G36" s="581"/>
      <c r="H36" s="581"/>
      <c r="I36" s="581"/>
      <c r="J36" s="581"/>
      <c r="K36" s="22"/>
    </row>
    <row r="37" spans="1:11" ht="15" customHeight="1" x14ac:dyDescent="0.25">
      <c r="B37" s="7"/>
      <c r="C37" s="20" t="s">
        <v>21</v>
      </c>
      <c r="D37" s="627" t="s">
        <v>8</v>
      </c>
      <c r="E37" s="745"/>
      <c r="F37" s="745"/>
      <c r="G37" s="745"/>
      <c r="H37" s="745"/>
      <c r="I37" s="745"/>
      <c r="J37" s="745"/>
      <c r="K37" s="27"/>
    </row>
    <row r="38" spans="1:11" ht="15" customHeight="1" x14ac:dyDescent="0.25">
      <c r="B38" s="7"/>
      <c r="C38" s="26" t="s">
        <v>9</v>
      </c>
      <c r="D38" s="627" t="s">
        <v>10</v>
      </c>
      <c r="E38" s="627"/>
      <c r="F38" s="627"/>
      <c r="G38" s="627"/>
      <c r="H38" s="627"/>
      <c r="I38" s="627"/>
      <c r="J38" s="627"/>
      <c r="K38" s="27"/>
    </row>
    <row r="39" spans="1:11" ht="15" customHeight="1" x14ac:dyDescent="0.25">
      <c r="B39" s="7"/>
      <c r="C39" s="28">
        <v>1000</v>
      </c>
      <c r="D39" s="907" t="s">
        <v>11</v>
      </c>
      <c r="E39" s="643"/>
      <c r="F39" s="643"/>
      <c r="G39" s="643"/>
      <c r="H39" s="643"/>
      <c r="I39" s="643"/>
      <c r="J39" s="908"/>
      <c r="K39" s="27"/>
    </row>
    <row r="40" spans="1:11" ht="15" customHeight="1" thickBot="1" x14ac:dyDescent="0.3">
      <c r="B40" s="7"/>
      <c r="C40" s="29">
        <v>10</v>
      </c>
      <c r="D40" s="909" t="s">
        <v>12</v>
      </c>
      <c r="E40" s="643"/>
      <c r="F40" s="643"/>
      <c r="G40" s="643"/>
      <c r="H40" s="643"/>
      <c r="I40" s="643"/>
      <c r="J40" s="908"/>
      <c r="K40" s="27"/>
    </row>
    <row r="41" spans="1:11" ht="45" customHeight="1" thickBot="1" x14ac:dyDescent="0.3">
      <c r="B41" s="7"/>
      <c r="C41" s="610" t="s">
        <v>20</v>
      </c>
      <c r="D41" s="611"/>
      <c r="E41" s="80" t="e">
        <f>((E30/1000)*E17)+((E31/10)*(E18/1000))</f>
        <v>#REF!</v>
      </c>
      <c r="F41" s="12" t="s">
        <v>72</v>
      </c>
      <c r="G41" s="12"/>
      <c r="H41" s="12"/>
      <c r="I41" s="12"/>
      <c r="J41" s="12"/>
      <c r="K41" s="11"/>
    </row>
    <row r="42" spans="1:11" ht="45" customHeight="1" thickBot="1" x14ac:dyDescent="0.3">
      <c r="B42" s="8"/>
      <c r="C42" s="610" t="s">
        <v>59</v>
      </c>
      <c r="D42" s="611"/>
      <c r="E42" s="80" t="e">
        <f>((E32/1000)*E17)+((E33/10)*(E18/1000))</f>
        <v>#REF!</v>
      </c>
      <c r="F42" s="35" t="s">
        <v>72</v>
      </c>
      <c r="G42" s="35"/>
      <c r="H42" s="35"/>
      <c r="I42" s="35"/>
      <c r="J42" s="35"/>
      <c r="K42" s="36"/>
    </row>
    <row r="43" spans="1:11" x14ac:dyDescent="0.25">
      <c r="C43" s="8"/>
      <c r="D43" s="8"/>
      <c r="E43" s="9"/>
      <c r="F43" s="8"/>
      <c r="G43" s="8"/>
      <c r="H43" s="8"/>
      <c r="I43" s="8"/>
      <c r="J43" s="8"/>
      <c r="K43" s="8"/>
    </row>
    <row r="44" spans="1:11" x14ac:dyDescent="0.25">
      <c r="C44" s="8"/>
      <c r="D44" s="8"/>
      <c r="E44" s="8"/>
      <c r="F44" s="8"/>
      <c r="G44" s="8"/>
      <c r="H44" s="8"/>
      <c r="I44" s="8"/>
      <c r="J44" s="8"/>
      <c r="K44" s="8"/>
    </row>
    <row r="45" spans="1:11" ht="15.75" thickBot="1" x14ac:dyDescent="0.3">
      <c r="A45" s="8"/>
      <c r="B45" s="39"/>
      <c r="C45" s="39"/>
      <c r="D45" s="39"/>
      <c r="E45" s="39"/>
      <c r="F45" s="39"/>
      <c r="G45" s="39"/>
      <c r="H45" s="39"/>
      <c r="I45" s="39"/>
      <c r="J45" s="39"/>
      <c r="K45" s="39"/>
    </row>
    <row r="46" spans="1:11" ht="15.75" thickTop="1" x14ac:dyDescent="0.25">
      <c r="A46" s="8"/>
      <c r="C46" s="8"/>
      <c r="D46" s="8"/>
      <c r="E46" s="8"/>
      <c r="F46" s="8"/>
      <c r="G46" s="8"/>
      <c r="H46" s="8"/>
      <c r="I46" s="8"/>
      <c r="J46" s="8"/>
      <c r="K46" s="8"/>
    </row>
    <row r="47" spans="1:11" x14ac:dyDescent="0.25">
      <c r="C47" s="8"/>
      <c r="D47" s="8"/>
      <c r="E47" s="8"/>
      <c r="F47" s="8"/>
      <c r="G47" s="8"/>
      <c r="H47" s="8"/>
      <c r="I47" s="8"/>
      <c r="J47" s="8"/>
      <c r="K47" s="8"/>
    </row>
    <row r="48" spans="1:11" ht="15.75" customHeight="1" x14ac:dyDescent="0.25">
      <c r="B48" s="602" t="s">
        <v>14</v>
      </c>
      <c r="C48" s="603"/>
      <c r="D48" s="603"/>
      <c r="E48" s="77"/>
      <c r="F48" s="77"/>
      <c r="G48" s="78"/>
      <c r="H48" s="8"/>
      <c r="I48" s="8"/>
      <c r="J48" s="8"/>
      <c r="K48" s="8"/>
    </row>
    <row r="49" spans="2:11" ht="15" customHeight="1" x14ac:dyDescent="0.25">
      <c r="B49" s="19" t="s">
        <v>27</v>
      </c>
      <c r="C49" s="24"/>
      <c r="D49" s="24"/>
      <c r="E49" s="23" t="s">
        <v>28</v>
      </c>
      <c r="F49" s="17" t="s">
        <v>29</v>
      </c>
      <c r="G49" s="16" t="s">
        <v>30</v>
      </c>
      <c r="H49" s="8"/>
      <c r="I49" s="8"/>
      <c r="J49" s="8"/>
      <c r="K49" s="8"/>
    </row>
    <row r="50" spans="2:11" x14ac:dyDescent="0.25">
      <c r="B50" s="550" t="s">
        <v>91</v>
      </c>
      <c r="C50" s="551"/>
      <c r="D50" s="552"/>
      <c r="E50" s="63" t="e">
        <f>#REF!</f>
        <v>#REF!</v>
      </c>
      <c r="F50" s="30"/>
      <c r="G50" s="15"/>
      <c r="H50" s="8"/>
      <c r="I50" s="8"/>
      <c r="J50" s="8"/>
      <c r="K50" s="8"/>
    </row>
    <row r="51" spans="2:11" ht="15" customHeight="1" x14ac:dyDescent="0.25">
      <c r="B51" s="550" t="s">
        <v>92</v>
      </c>
      <c r="C51" s="551"/>
      <c r="D51" s="552"/>
      <c r="E51" s="63" t="e">
        <f>#REF!</f>
        <v>#REF!</v>
      </c>
      <c r="F51" s="30"/>
      <c r="G51" s="14"/>
      <c r="H51" s="8"/>
      <c r="I51" s="8"/>
      <c r="J51" s="8"/>
      <c r="K51" s="8"/>
    </row>
    <row r="52" spans="2:11" x14ac:dyDescent="0.25">
      <c r="B52" s="550" t="s">
        <v>93</v>
      </c>
      <c r="C52" s="551"/>
      <c r="D52" s="552"/>
      <c r="E52" s="64">
        <v>0.3</v>
      </c>
      <c r="F52" s="30"/>
      <c r="G52" s="14"/>
      <c r="H52" s="8"/>
      <c r="I52" s="8"/>
      <c r="J52" s="8"/>
      <c r="K52" s="8"/>
    </row>
    <row r="53" spans="2:11" x14ac:dyDescent="0.25">
      <c r="B53" s="550"/>
      <c r="C53" s="551"/>
      <c r="D53" s="552"/>
      <c r="E53" s="31"/>
      <c r="F53" s="30"/>
      <c r="G53" s="15"/>
      <c r="H53" s="8"/>
      <c r="I53" s="8"/>
      <c r="J53" s="8"/>
      <c r="K53" s="8"/>
    </row>
    <row r="54" spans="2:11" x14ac:dyDescent="0.25">
      <c r="G54" s="10"/>
    </row>
    <row r="55" spans="2:11" x14ac:dyDescent="0.25">
      <c r="B55" s="3"/>
      <c r="C55" s="3"/>
      <c r="D55" s="3"/>
      <c r="E55" s="3"/>
      <c r="F55" s="3"/>
      <c r="G55" s="3"/>
      <c r="H55" s="3"/>
      <c r="I55" s="3"/>
      <c r="J55" s="3"/>
      <c r="K55" s="3"/>
    </row>
    <row r="56" spans="2:11" ht="15.75" x14ac:dyDescent="0.25">
      <c r="B56" s="602" t="s">
        <v>51</v>
      </c>
      <c r="C56" s="603"/>
      <c r="D56" s="603"/>
      <c r="E56" s="603"/>
      <c r="F56" s="603"/>
      <c r="G56" s="603"/>
      <c r="H56" s="603"/>
      <c r="I56" s="603"/>
      <c r="J56" s="603"/>
      <c r="K56" s="604"/>
    </row>
    <row r="57" spans="2:11" x14ac:dyDescent="0.25">
      <c r="B57" s="605"/>
      <c r="C57" s="606"/>
      <c r="D57" s="606"/>
      <c r="E57" s="606"/>
      <c r="F57" s="606"/>
      <c r="G57" s="606"/>
      <c r="H57" s="606"/>
      <c r="I57" s="606"/>
      <c r="J57" s="606"/>
      <c r="K57" s="607"/>
    </row>
    <row r="58" spans="2:11" x14ac:dyDescent="0.25">
      <c r="B58" s="608"/>
      <c r="C58" s="566"/>
      <c r="D58" s="566"/>
      <c r="E58" s="566"/>
      <c r="F58" s="566"/>
      <c r="G58" s="566"/>
      <c r="H58" s="566"/>
      <c r="I58" s="566"/>
      <c r="J58" s="566"/>
      <c r="K58" s="609"/>
    </row>
    <row r="59" spans="2:11" x14ac:dyDescent="0.25">
      <c r="B59" s="605"/>
      <c r="C59" s="606"/>
      <c r="D59" s="606"/>
      <c r="E59" s="606"/>
      <c r="F59" s="606"/>
      <c r="G59" s="606"/>
      <c r="H59" s="606"/>
      <c r="I59" s="606"/>
      <c r="J59" s="606"/>
      <c r="K59" s="607"/>
    </row>
    <row r="61" spans="2:11" ht="15.75" thickBot="1" x14ac:dyDescent="0.3"/>
    <row r="62" spans="2:11" ht="15.75" thickBot="1" x14ac:dyDescent="0.3">
      <c r="B62" s="25" t="s">
        <v>36</v>
      </c>
      <c r="C62" s="581" t="s">
        <v>62</v>
      </c>
      <c r="D62" s="581"/>
      <c r="E62" s="581"/>
      <c r="F62" s="581"/>
      <c r="G62" s="581"/>
      <c r="H62" s="581"/>
      <c r="I62" s="581"/>
      <c r="J62" s="581"/>
      <c r="K62" s="22"/>
    </row>
    <row r="63" spans="2:11" x14ac:dyDescent="0.25">
      <c r="B63" s="7"/>
      <c r="C63" s="582" t="s">
        <v>42</v>
      </c>
      <c r="D63" s="65" t="e">
        <f>E51*E52</f>
        <v>#REF!</v>
      </c>
      <c r="E63" s="585"/>
      <c r="F63" s="12"/>
      <c r="G63" s="12"/>
      <c r="H63" s="12"/>
      <c r="I63" s="12"/>
      <c r="J63" s="12"/>
      <c r="K63" s="11"/>
    </row>
    <row r="64" spans="2:11" x14ac:dyDescent="0.25">
      <c r="B64" s="7"/>
      <c r="C64" s="583"/>
      <c r="D64" s="66"/>
      <c r="E64" s="586"/>
      <c r="F64" s="40"/>
      <c r="G64" s="40"/>
      <c r="H64" s="40"/>
      <c r="I64" s="40"/>
      <c r="J64" s="40"/>
      <c r="K64" s="41"/>
    </row>
    <row r="65" spans="2:11" ht="15.75" thickBot="1" x14ac:dyDescent="0.3">
      <c r="B65" s="7"/>
      <c r="C65" s="584"/>
      <c r="D65" s="67"/>
      <c r="E65" s="587"/>
      <c r="F65" s="42"/>
      <c r="G65" s="42"/>
      <c r="H65" s="42"/>
      <c r="I65" s="42"/>
      <c r="J65" s="42"/>
      <c r="K65" s="43"/>
    </row>
    <row r="66" spans="2:11" ht="15" customHeight="1" x14ac:dyDescent="0.25">
      <c r="B66" s="7"/>
      <c r="C66" s="582" t="s">
        <v>43</v>
      </c>
      <c r="D66" s="904"/>
      <c r="E66" s="585"/>
      <c r="F66" s="12"/>
      <c r="G66" s="12"/>
      <c r="H66" s="12"/>
      <c r="I66" s="12"/>
      <c r="J66" s="12"/>
      <c r="K66" s="11"/>
    </row>
    <row r="67" spans="2:11" x14ac:dyDescent="0.25">
      <c r="B67" s="7"/>
      <c r="C67" s="583"/>
      <c r="D67" s="905"/>
      <c r="E67" s="586"/>
      <c r="F67" s="40"/>
      <c r="G67" s="40"/>
      <c r="H67" s="40"/>
      <c r="I67" s="40"/>
      <c r="J67" s="40"/>
      <c r="K67" s="41"/>
    </row>
    <row r="68" spans="2:11" ht="15.75" thickBot="1" x14ac:dyDescent="0.3">
      <c r="B68" s="7"/>
      <c r="C68" s="584"/>
      <c r="D68" s="906"/>
      <c r="E68" s="587"/>
      <c r="F68" s="42"/>
      <c r="G68" s="42"/>
      <c r="H68" s="42"/>
      <c r="I68" s="42"/>
      <c r="J68" s="42"/>
      <c r="K68" s="43"/>
    </row>
  </sheetData>
  <mergeCells count="53">
    <mergeCell ref="B1:J1"/>
    <mergeCell ref="C3:K3"/>
    <mergeCell ref="C4:K4"/>
    <mergeCell ref="B5:B6"/>
    <mergeCell ref="C5:K6"/>
    <mergeCell ref="B9:D9"/>
    <mergeCell ref="B10:D10"/>
    <mergeCell ref="B11:D11"/>
    <mergeCell ref="B12:D12"/>
    <mergeCell ref="B13:D13"/>
    <mergeCell ref="B14:D14"/>
    <mergeCell ref="B15:D15"/>
    <mergeCell ref="B16:D16"/>
    <mergeCell ref="B17:D17"/>
    <mergeCell ref="B18:D18"/>
    <mergeCell ref="B20:K20"/>
    <mergeCell ref="B21:K21"/>
    <mergeCell ref="B22:K22"/>
    <mergeCell ref="B23:K23"/>
    <mergeCell ref="B24:K24"/>
    <mergeCell ref="B25:K25"/>
    <mergeCell ref="B26:K26"/>
    <mergeCell ref="C29:K29"/>
    <mergeCell ref="C30:D30"/>
    <mergeCell ref="H30:K30"/>
    <mergeCell ref="C31:D31"/>
    <mergeCell ref="H31:K31"/>
    <mergeCell ref="C32:D32"/>
    <mergeCell ref="H32:K32"/>
    <mergeCell ref="C33:D33"/>
    <mergeCell ref="H33:K33"/>
    <mergeCell ref="C36:J36"/>
    <mergeCell ref="D37:J37"/>
    <mergeCell ref="D38:J38"/>
    <mergeCell ref="D39:J39"/>
    <mergeCell ref="D40:J40"/>
    <mergeCell ref="C41:D41"/>
    <mergeCell ref="C42:D42"/>
    <mergeCell ref="B48:D48"/>
    <mergeCell ref="B50:D50"/>
    <mergeCell ref="B51:D51"/>
    <mergeCell ref="B52:D52"/>
    <mergeCell ref="B53:D53"/>
    <mergeCell ref="C66:C68"/>
    <mergeCell ref="D66:D68"/>
    <mergeCell ref="E66:E68"/>
    <mergeCell ref="B56:K56"/>
    <mergeCell ref="B57:K57"/>
    <mergeCell ref="B58:K58"/>
    <mergeCell ref="B59:K59"/>
    <mergeCell ref="C62:J62"/>
    <mergeCell ref="C63:C65"/>
    <mergeCell ref="E63:E6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7"/>
  <sheetViews>
    <sheetView zoomScaleNormal="100" workbookViewId="0">
      <selection activeCell="E51" sqref="E51"/>
    </sheetView>
  </sheetViews>
  <sheetFormatPr defaultRowHeight="15" x14ac:dyDescent="0.25"/>
  <cols>
    <col min="1" max="1" width="5.28515625" customWidth="1"/>
    <col min="2" max="2" width="34.5703125" customWidth="1"/>
    <col min="3" max="6" width="15.7109375" customWidth="1"/>
    <col min="7" max="7" width="16.7109375" customWidth="1"/>
    <col min="8" max="15" width="15.7109375" customWidth="1"/>
  </cols>
  <sheetData>
    <row r="1" spans="2:42" ht="26.25" x14ac:dyDescent="0.25">
      <c r="B1" s="640" t="s">
        <v>87</v>
      </c>
      <c r="C1" s="640"/>
      <c r="D1" s="640"/>
      <c r="E1" s="640"/>
      <c r="F1" s="640"/>
      <c r="G1" s="640"/>
      <c r="H1" s="640"/>
      <c r="I1" s="640"/>
      <c r="J1" s="640"/>
    </row>
    <row r="2" spans="2:42" ht="15.75" thickBot="1" x14ac:dyDescent="0.3"/>
    <row r="3" spans="2:42" ht="15" customHeight="1" x14ac:dyDescent="0.25">
      <c r="B3" s="5" t="s">
        <v>15</v>
      </c>
      <c r="C3" s="927" t="s">
        <v>61</v>
      </c>
      <c r="D3" s="625"/>
      <c r="E3" s="625"/>
      <c r="F3" s="625"/>
      <c r="G3" s="625"/>
      <c r="H3" s="625"/>
      <c r="I3" s="625"/>
      <c r="J3" s="625"/>
      <c r="K3" s="626"/>
    </row>
    <row r="4" spans="2:42" x14ac:dyDescent="0.25">
      <c r="B4" s="4" t="s">
        <v>0</v>
      </c>
      <c r="C4" s="928" t="s">
        <v>1</v>
      </c>
      <c r="D4" s="929"/>
      <c r="E4" s="929"/>
      <c r="F4" s="929"/>
      <c r="G4" s="929"/>
      <c r="H4" s="929"/>
      <c r="I4" s="929"/>
      <c r="J4" s="929"/>
      <c r="K4" s="930"/>
    </row>
    <row r="5" spans="2:42" ht="35.1" customHeight="1" x14ac:dyDescent="0.25">
      <c r="B5" s="931" t="s">
        <v>13</v>
      </c>
      <c r="C5" s="939" t="s">
        <v>90</v>
      </c>
      <c r="D5" s="934"/>
      <c r="E5" s="934"/>
      <c r="F5" s="934"/>
      <c r="G5" s="934"/>
      <c r="H5" s="934"/>
      <c r="I5" s="934"/>
      <c r="J5" s="934"/>
      <c r="K5" s="935"/>
    </row>
    <row r="6" spans="2:42" ht="35.1" customHeight="1" thickBot="1" x14ac:dyDescent="0.3">
      <c r="B6" s="932"/>
      <c r="C6" s="936"/>
      <c r="D6" s="937"/>
      <c r="E6" s="937"/>
      <c r="F6" s="937"/>
      <c r="G6" s="937"/>
      <c r="H6" s="937"/>
      <c r="I6" s="937"/>
      <c r="J6" s="937"/>
      <c r="K6" s="938"/>
    </row>
    <row r="7" spans="2:42" x14ac:dyDescent="0.25">
      <c r="C7" s="33"/>
      <c r="F7" s="33"/>
    </row>
    <row r="8" spans="2:42" x14ac:dyDescent="0.25">
      <c r="C8" s="33"/>
      <c r="E8" s="3"/>
      <c r="F8" s="18"/>
      <c r="G8" s="3"/>
    </row>
    <row r="9" spans="2:42" ht="15.75" customHeight="1" x14ac:dyDescent="0.25">
      <c r="B9" s="602" t="s">
        <v>26</v>
      </c>
      <c r="C9" s="603"/>
      <c r="D9" s="603"/>
      <c r="E9" s="2"/>
      <c r="F9" s="2"/>
      <c r="G9" s="1"/>
      <c r="H9" s="8"/>
      <c r="I9" s="8"/>
      <c r="J9" s="44"/>
      <c r="K9" s="44"/>
      <c r="L9" s="44"/>
      <c r="M9" s="44"/>
      <c r="N9" s="44"/>
      <c r="O9" s="44"/>
      <c r="P9" s="44"/>
      <c r="Q9" s="44"/>
      <c r="R9" s="8"/>
      <c r="S9" s="8"/>
      <c r="T9" s="8"/>
      <c r="U9" s="8"/>
      <c r="V9" s="8"/>
      <c r="W9" s="8"/>
      <c r="X9" s="8"/>
      <c r="Y9" s="8"/>
      <c r="Z9" s="8"/>
      <c r="AA9" s="8"/>
      <c r="AB9" s="8"/>
      <c r="AC9" s="8"/>
      <c r="AD9" s="8"/>
      <c r="AE9" s="8"/>
      <c r="AF9" s="8"/>
      <c r="AG9" s="8"/>
    </row>
    <row r="10" spans="2:42" ht="15" customHeight="1" x14ac:dyDescent="0.25">
      <c r="B10" s="924" t="s">
        <v>27</v>
      </c>
      <c r="C10" s="925"/>
      <c r="D10" s="926"/>
      <c r="E10" s="23" t="s">
        <v>28</v>
      </c>
      <c r="F10" s="17" t="s">
        <v>29</v>
      </c>
      <c r="G10" s="16" t="s">
        <v>30</v>
      </c>
      <c r="H10" s="8"/>
      <c r="I10" s="8"/>
      <c r="J10" s="40"/>
      <c r="K10" s="40"/>
      <c r="L10" s="40"/>
      <c r="M10" s="40"/>
      <c r="N10" s="40"/>
      <c r="O10" s="40"/>
      <c r="P10" s="40"/>
      <c r="Q10" s="40"/>
      <c r="R10" s="44"/>
      <c r="S10" s="8"/>
      <c r="T10" s="8"/>
      <c r="U10" s="8"/>
      <c r="V10" s="8"/>
      <c r="W10" s="8"/>
      <c r="X10" s="8"/>
      <c r="Y10" s="8"/>
      <c r="Z10" s="8"/>
      <c r="AA10" s="8"/>
      <c r="AB10" s="8"/>
      <c r="AC10" s="8"/>
      <c r="AD10" s="8"/>
      <c r="AE10" s="8"/>
      <c r="AF10" s="8"/>
      <c r="AG10" s="8"/>
    </row>
    <row r="11" spans="2:42" ht="17.25" customHeight="1" x14ac:dyDescent="0.25">
      <c r="B11" s="550" t="s">
        <v>110</v>
      </c>
      <c r="C11" s="551"/>
      <c r="D11" s="552"/>
      <c r="E11" s="89">
        <v>0</v>
      </c>
      <c r="F11" s="30" t="s">
        <v>73</v>
      </c>
      <c r="G11" s="14" t="s">
        <v>76</v>
      </c>
      <c r="H11" s="8"/>
      <c r="I11" s="44"/>
      <c r="J11" s="44"/>
      <c r="K11" s="40"/>
      <c r="L11" s="40"/>
      <c r="M11" s="40"/>
      <c r="N11" s="40"/>
      <c r="O11" s="40"/>
      <c r="P11" s="40"/>
      <c r="Q11" s="40"/>
      <c r="R11" s="40"/>
      <c r="S11" s="8"/>
      <c r="T11" s="8"/>
      <c r="U11" s="8"/>
      <c r="V11" s="8"/>
      <c r="W11" s="8"/>
      <c r="X11" s="8"/>
      <c r="Y11" s="8"/>
      <c r="Z11" s="8"/>
      <c r="AA11" s="8"/>
      <c r="AB11" s="8"/>
      <c r="AC11" s="8"/>
      <c r="AD11" s="8"/>
      <c r="AE11" s="8"/>
      <c r="AF11" s="8"/>
      <c r="AG11" s="8"/>
      <c r="AH11" s="8"/>
      <c r="AI11" s="8"/>
      <c r="AJ11" s="8"/>
      <c r="AK11" s="8"/>
      <c r="AL11" s="8"/>
      <c r="AM11" s="8"/>
      <c r="AN11" s="8"/>
      <c r="AO11" s="8"/>
      <c r="AP11" s="8"/>
    </row>
    <row r="12" spans="2:42" ht="17.25" customHeight="1" x14ac:dyDescent="0.25">
      <c r="B12" s="550" t="s">
        <v>75</v>
      </c>
      <c r="C12" s="551"/>
      <c r="D12" s="552"/>
      <c r="E12" s="89">
        <v>0</v>
      </c>
      <c r="F12" s="30" t="s">
        <v>73</v>
      </c>
      <c r="G12" s="14" t="s">
        <v>77</v>
      </c>
      <c r="H12" s="8"/>
      <c r="I12" s="44"/>
      <c r="J12" s="44"/>
      <c r="K12" s="40"/>
      <c r="L12" s="40"/>
      <c r="M12" s="40"/>
      <c r="N12" s="40"/>
      <c r="O12" s="40"/>
      <c r="P12" s="40"/>
      <c r="Q12" s="40"/>
      <c r="R12" s="40"/>
      <c r="S12" s="8"/>
      <c r="T12" s="8"/>
      <c r="U12" s="8"/>
      <c r="V12" s="8"/>
      <c r="W12" s="8"/>
      <c r="X12" s="8"/>
      <c r="Y12" s="8"/>
      <c r="Z12" s="8"/>
      <c r="AA12" s="8"/>
      <c r="AB12" s="8"/>
      <c r="AC12" s="8"/>
      <c r="AD12" s="8"/>
      <c r="AE12" s="8"/>
      <c r="AF12" s="8"/>
      <c r="AG12" s="8"/>
      <c r="AH12" s="8"/>
      <c r="AI12" s="8"/>
      <c r="AJ12" s="8"/>
      <c r="AK12" s="8"/>
      <c r="AL12" s="8"/>
      <c r="AM12" s="8"/>
      <c r="AN12" s="8"/>
      <c r="AO12" s="8"/>
      <c r="AP12" s="8"/>
    </row>
    <row r="13" spans="2:42" ht="17.25" customHeight="1" x14ac:dyDescent="0.35">
      <c r="B13" s="550" t="s">
        <v>78</v>
      </c>
      <c r="C13" s="551"/>
      <c r="D13" s="552"/>
      <c r="E13" s="88" t="e">
        <f>0.02*#REF!</f>
        <v>#REF!</v>
      </c>
      <c r="F13" s="30" t="s">
        <v>74</v>
      </c>
      <c r="G13" s="14" t="s">
        <v>81</v>
      </c>
      <c r="H13" s="8" t="s">
        <v>88</v>
      </c>
      <c r="I13" s="44"/>
      <c r="J13" s="44"/>
      <c r="K13" s="40"/>
      <c r="L13" s="40"/>
      <c r="M13" s="40"/>
      <c r="N13" s="40"/>
      <c r="O13" s="40"/>
      <c r="P13" s="40"/>
      <c r="Q13" s="40"/>
      <c r="R13" s="40"/>
      <c r="S13" s="8"/>
      <c r="T13" s="8"/>
      <c r="U13" s="8"/>
      <c r="V13" s="8"/>
      <c r="W13" s="8"/>
      <c r="X13" s="8"/>
      <c r="Y13" s="8"/>
      <c r="Z13" s="8"/>
      <c r="AA13" s="8"/>
      <c r="AB13" s="8"/>
      <c r="AC13" s="8"/>
      <c r="AD13" s="8"/>
      <c r="AE13" s="8"/>
      <c r="AF13" s="8"/>
      <c r="AG13" s="8"/>
      <c r="AH13" s="8"/>
      <c r="AI13" s="8"/>
      <c r="AJ13" s="8"/>
      <c r="AK13" s="8"/>
      <c r="AL13" s="8"/>
      <c r="AM13" s="8"/>
      <c r="AN13" s="8"/>
      <c r="AO13" s="8"/>
      <c r="AP13" s="8"/>
    </row>
    <row r="14" spans="2:42" ht="17.25" customHeight="1" x14ac:dyDescent="0.35">
      <c r="B14" s="550" t="s">
        <v>79</v>
      </c>
      <c r="C14" s="551"/>
      <c r="D14" s="552"/>
      <c r="E14" s="88" t="e">
        <f>0.04*#REF!</f>
        <v>#REF!</v>
      </c>
      <c r="F14" s="30" t="s">
        <v>74</v>
      </c>
      <c r="G14" s="14" t="s">
        <v>80</v>
      </c>
      <c r="H14" s="8" t="s">
        <v>89</v>
      </c>
      <c r="I14" s="44"/>
      <c r="J14" s="44"/>
      <c r="K14" s="40"/>
      <c r="L14" s="40"/>
      <c r="M14" s="40"/>
      <c r="N14" s="40"/>
      <c r="O14" s="40"/>
      <c r="P14" s="40"/>
      <c r="Q14" s="40"/>
      <c r="R14" s="40"/>
      <c r="S14" s="8"/>
      <c r="T14" s="8"/>
      <c r="U14" s="8"/>
      <c r="V14" s="8"/>
      <c r="W14" s="8"/>
      <c r="X14" s="8"/>
      <c r="Y14" s="8"/>
      <c r="Z14" s="8"/>
      <c r="AA14" s="8"/>
      <c r="AB14" s="8"/>
      <c r="AC14" s="8"/>
      <c r="AD14" s="8"/>
      <c r="AE14" s="8"/>
      <c r="AF14" s="8"/>
      <c r="AG14" s="8"/>
      <c r="AH14" s="8"/>
      <c r="AI14" s="8"/>
      <c r="AJ14" s="8"/>
      <c r="AK14" s="8"/>
      <c r="AL14" s="8"/>
      <c r="AM14" s="8"/>
      <c r="AN14" s="8"/>
      <c r="AO14" s="8"/>
      <c r="AP14" s="8"/>
    </row>
    <row r="15" spans="2:42" ht="15" customHeight="1" x14ac:dyDescent="0.25">
      <c r="B15" s="921" t="s">
        <v>116</v>
      </c>
      <c r="C15" s="922"/>
      <c r="D15" s="923"/>
      <c r="E15" s="60" t="e">
        <f>#REF!</f>
        <v>#REF!</v>
      </c>
      <c r="F15" s="37" t="s">
        <v>4</v>
      </c>
      <c r="G15" s="15" t="s">
        <v>31</v>
      </c>
      <c r="H15" s="8"/>
      <c r="I15" s="8"/>
      <c r="J15" s="8"/>
      <c r="K15" s="8"/>
      <c r="O15" s="8"/>
      <c r="P15" s="8"/>
      <c r="Q15" s="8"/>
      <c r="R15" s="8"/>
      <c r="S15" s="8"/>
    </row>
    <row r="16" spans="2:42" ht="30" x14ac:dyDescent="0.25">
      <c r="B16" s="921" t="s">
        <v>117</v>
      </c>
      <c r="C16" s="922"/>
      <c r="D16" s="923"/>
      <c r="E16" s="60" t="e">
        <f>#REF!</f>
        <v>#REF!</v>
      </c>
      <c r="F16" s="37" t="s">
        <v>5</v>
      </c>
      <c r="G16" s="15" t="s">
        <v>32</v>
      </c>
      <c r="I16" s="33"/>
    </row>
    <row r="17" spans="2:12" ht="30" x14ac:dyDescent="0.25">
      <c r="B17" s="550" t="s">
        <v>98</v>
      </c>
      <c r="C17" s="551"/>
      <c r="D17" s="552"/>
      <c r="E17" s="60" t="e">
        <f>#REF!</f>
        <v>#REF!</v>
      </c>
      <c r="F17" s="37" t="s">
        <v>37</v>
      </c>
      <c r="G17" s="15" t="s">
        <v>40</v>
      </c>
      <c r="I17" s="33"/>
    </row>
    <row r="18" spans="2:12" ht="15" customHeight="1" x14ac:dyDescent="0.3">
      <c r="B18" s="550" t="s">
        <v>107</v>
      </c>
      <c r="C18" s="551"/>
      <c r="D18" s="552"/>
      <c r="E18" s="60" t="e">
        <f>#REF!</f>
        <v>#REF!</v>
      </c>
      <c r="F18" s="37" t="s">
        <v>38</v>
      </c>
      <c r="G18" s="15" t="s">
        <v>39</v>
      </c>
      <c r="I18" s="33"/>
    </row>
    <row r="19" spans="2:12" ht="14.45" x14ac:dyDescent="0.3">
      <c r="B19" s="32"/>
      <c r="C19" s="3"/>
      <c r="D19" s="47"/>
      <c r="E19" s="47"/>
      <c r="F19" s="47"/>
      <c r="G19" s="47"/>
      <c r="H19" s="47"/>
      <c r="I19" s="47"/>
      <c r="J19" s="47"/>
      <c r="K19" s="47"/>
      <c r="L19" s="8"/>
    </row>
    <row r="20" spans="2:12" ht="15" customHeight="1" x14ac:dyDescent="0.3">
      <c r="B20" s="602" t="s">
        <v>25</v>
      </c>
      <c r="C20" s="603"/>
      <c r="D20" s="603"/>
      <c r="E20" s="603"/>
      <c r="F20" s="603"/>
      <c r="G20" s="603"/>
      <c r="H20" s="603"/>
      <c r="I20" s="603"/>
      <c r="J20" s="603"/>
      <c r="K20" s="604"/>
    </row>
    <row r="21" spans="2:12" ht="15" customHeight="1" x14ac:dyDescent="0.3">
      <c r="B21" s="919" t="s">
        <v>45</v>
      </c>
      <c r="C21" s="569"/>
      <c r="D21" s="569"/>
      <c r="E21" s="569"/>
      <c r="F21" s="569"/>
      <c r="G21" s="569"/>
      <c r="H21" s="569"/>
      <c r="I21" s="569"/>
      <c r="J21" s="569"/>
      <c r="K21" s="920"/>
    </row>
    <row r="22" spans="2:12" ht="15" customHeight="1" x14ac:dyDescent="0.3">
      <c r="B22" s="919" t="s">
        <v>83</v>
      </c>
      <c r="C22" s="569"/>
      <c r="D22" s="569"/>
      <c r="E22" s="569"/>
      <c r="F22" s="569"/>
      <c r="G22" s="569"/>
      <c r="H22" s="569"/>
      <c r="I22" s="569"/>
      <c r="J22" s="569"/>
      <c r="K22" s="920"/>
    </row>
    <row r="23" spans="2:12" ht="15" customHeight="1" x14ac:dyDescent="0.3">
      <c r="B23" s="919" t="s">
        <v>48</v>
      </c>
      <c r="C23" s="569"/>
      <c r="D23" s="569"/>
      <c r="E23" s="569"/>
      <c r="F23" s="569"/>
      <c r="G23" s="569"/>
      <c r="H23" s="569"/>
      <c r="I23" s="569"/>
      <c r="J23" s="569"/>
      <c r="K23" s="920"/>
    </row>
    <row r="24" spans="2:12" ht="15" customHeight="1" x14ac:dyDescent="0.3">
      <c r="B24" s="919"/>
      <c r="C24" s="569"/>
      <c r="D24" s="569"/>
      <c r="E24" s="569"/>
      <c r="F24" s="569"/>
      <c r="G24" s="569"/>
      <c r="H24" s="569"/>
      <c r="I24" s="569"/>
      <c r="J24" s="569"/>
      <c r="K24" s="920"/>
    </row>
    <row r="25" spans="2:12" ht="15" customHeight="1" x14ac:dyDescent="0.3">
      <c r="B25" s="605"/>
      <c r="C25" s="606"/>
      <c r="D25" s="606"/>
      <c r="E25" s="606"/>
      <c r="F25" s="606"/>
      <c r="G25" s="606"/>
      <c r="H25" s="606"/>
      <c r="I25" s="606"/>
      <c r="J25" s="606"/>
      <c r="K25" s="607"/>
    </row>
    <row r="26" spans="2:12" ht="15" customHeight="1" x14ac:dyDescent="0.3">
      <c r="B26" s="605"/>
      <c r="C26" s="606"/>
      <c r="D26" s="606"/>
      <c r="E26" s="606"/>
      <c r="F26" s="606"/>
      <c r="G26" s="606"/>
      <c r="H26" s="606"/>
      <c r="I26" s="606"/>
      <c r="J26" s="606"/>
      <c r="K26" s="607"/>
    </row>
    <row r="28" spans="2:12" thickBot="1" x14ac:dyDescent="0.35">
      <c r="B28" s="33"/>
      <c r="C28" s="6"/>
      <c r="D28" s="6"/>
      <c r="E28" s="6"/>
      <c r="F28" s="6"/>
      <c r="G28" s="6"/>
      <c r="H28" s="6"/>
      <c r="I28" s="6"/>
      <c r="J28" s="6"/>
      <c r="K28" s="6"/>
    </row>
    <row r="29" spans="2:12" ht="75" customHeight="1" x14ac:dyDescent="0.3">
      <c r="B29" s="25" t="s">
        <v>22</v>
      </c>
      <c r="C29" s="914" t="s">
        <v>82</v>
      </c>
      <c r="D29" s="915"/>
      <c r="E29" s="915"/>
      <c r="F29" s="915"/>
      <c r="G29" s="915"/>
      <c r="H29" s="915"/>
      <c r="I29" s="915"/>
      <c r="J29" s="915"/>
      <c r="K29" s="916"/>
    </row>
    <row r="30" spans="2:12" ht="45" customHeight="1" x14ac:dyDescent="0.25">
      <c r="B30" s="25"/>
      <c r="C30" s="622" t="s">
        <v>23</v>
      </c>
      <c r="D30" s="623"/>
      <c r="E30" s="50" t="e">
        <f>E11*E13*E15</f>
        <v>#REF!</v>
      </c>
      <c r="F30" s="48" t="s">
        <v>55</v>
      </c>
      <c r="G30" s="54"/>
      <c r="H30" s="54"/>
      <c r="I30" s="54"/>
      <c r="J30" s="54"/>
      <c r="K30" s="55"/>
    </row>
    <row r="31" spans="2:12" ht="45" customHeight="1" x14ac:dyDescent="0.25">
      <c r="B31" s="52"/>
      <c r="C31" s="622" t="s">
        <v>24</v>
      </c>
      <c r="D31" s="623"/>
      <c r="E31" s="53" t="e">
        <f>E12*E13*E16</f>
        <v>#REF!</v>
      </c>
      <c r="F31" s="38" t="s">
        <v>56</v>
      </c>
      <c r="G31" s="54"/>
      <c r="H31" s="54"/>
      <c r="I31" s="54"/>
      <c r="J31" s="54"/>
      <c r="K31" s="55"/>
    </row>
    <row r="32" spans="2:12" ht="45" customHeight="1" x14ac:dyDescent="0.25">
      <c r="B32" s="52"/>
      <c r="C32" s="622" t="s">
        <v>57</v>
      </c>
      <c r="D32" s="623"/>
      <c r="E32" s="53" t="e">
        <f>E11*E14*E15</f>
        <v>#REF!</v>
      </c>
      <c r="F32" s="48" t="s">
        <v>55</v>
      </c>
      <c r="G32" s="54"/>
      <c r="H32" s="54"/>
      <c r="I32" s="54"/>
      <c r="J32" s="54"/>
      <c r="K32" s="55"/>
    </row>
    <row r="33" spans="1:11" ht="45" customHeight="1" thickBot="1" x14ac:dyDescent="0.3">
      <c r="B33" s="8"/>
      <c r="C33" s="917" t="s">
        <v>60</v>
      </c>
      <c r="D33" s="918"/>
      <c r="E33" s="53" t="e">
        <f>E12*E14*E16</f>
        <v>#REF!</v>
      </c>
      <c r="F33" s="46" t="s">
        <v>56</v>
      </c>
      <c r="G33" s="56"/>
      <c r="H33" s="56"/>
      <c r="I33" s="56"/>
      <c r="J33" s="56"/>
      <c r="K33" s="57"/>
    </row>
    <row r="34" spans="1:11" x14ac:dyDescent="0.25">
      <c r="C34" s="9"/>
      <c r="D34" s="9"/>
      <c r="E34" s="9"/>
      <c r="F34" s="9"/>
      <c r="G34" s="9"/>
    </row>
    <row r="35" spans="1:11" ht="15.75" thickBot="1" x14ac:dyDescent="0.3"/>
    <row r="36" spans="1:11" ht="30" customHeight="1" x14ac:dyDescent="0.25">
      <c r="B36" s="25" t="s">
        <v>35</v>
      </c>
      <c r="C36" s="581" t="s">
        <v>41</v>
      </c>
      <c r="D36" s="581"/>
      <c r="E36" s="581"/>
      <c r="F36" s="581"/>
      <c r="G36" s="581"/>
      <c r="H36" s="581"/>
      <c r="I36" s="581"/>
      <c r="J36" s="581"/>
      <c r="K36" s="22"/>
    </row>
    <row r="37" spans="1:11" ht="15" customHeight="1" x14ac:dyDescent="0.25">
      <c r="B37" s="7"/>
      <c r="C37" s="20" t="s">
        <v>21</v>
      </c>
      <c r="D37" s="627" t="s">
        <v>8</v>
      </c>
      <c r="E37" s="745"/>
      <c r="F37" s="745"/>
      <c r="G37" s="745"/>
      <c r="H37" s="745"/>
      <c r="I37" s="745"/>
      <c r="J37" s="745"/>
      <c r="K37" s="27"/>
    </row>
    <row r="38" spans="1:11" ht="15" customHeight="1" x14ac:dyDescent="0.25">
      <c r="B38" s="7"/>
      <c r="C38" s="26" t="s">
        <v>9</v>
      </c>
      <c r="D38" s="627" t="s">
        <v>10</v>
      </c>
      <c r="E38" s="627"/>
      <c r="F38" s="627"/>
      <c r="G38" s="627"/>
      <c r="H38" s="627"/>
      <c r="I38" s="627"/>
      <c r="J38" s="627"/>
      <c r="K38" s="27"/>
    </row>
    <row r="39" spans="1:11" ht="15" customHeight="1" x14ac:dyDescent="0.25">
      <c r="B39" s="7"/>
      <c r="C39" s="28">
        <v>1000</v>
      </c>
      <c r="D39" s="907" t="s">
        <v>11</v>
      </c>
      <c r="E39" s="643"/>
      <c r="F39" s="643"/>
      <c r="G39" s="643"/>
      <c r="H39" s="643"/>
      <c r="I39" s="643"/>
      <c r="J39" s="908"/>
      <c r="K39" s="27"/>
    </row>
    <row r="40" spans="1:11" ht="15" customHeight="1" thickBot="1" x14ac:dyDescent="0.3">
      <c r="B40" s="7"/>
      <c r="C40" s="29">
        <v>10</v>
      </c>
      <c r="D40" s="909" t="s">
        <v>12</v>
      </c>
      <c r="E40" s="643"/>
      <c r="F40" s="643"/>
      <c r="G40" s="643"/>
      <c r="H40" s="643"/>
      <c r="I40" s="643"/>
      <c r="J40" s="908"/>
      <c r="K40" s="27"/>
    </row>
    <row r="41" spans="1:11" ht="45" customHeight="1" thickBot="1" x14ac:dyDescent="0.3">
      <c r="B41" s="8"/>
      <c r="C41" s="610" t="s">
        <v>20</v>
      </c>
      <c r="D41" s="611"/>
      <c r="E41" s="21" t="e">
        <f>(E30/1000*E17)+((E31/10)*E18/1000)</f>
        <v>#REF!</v>
      </c>
      <c r="F41" s="12" t="s">
        <v>72</v>
      </c>
      <c r="G41" s="12"/>
      <c r="H41" s="12"/>
      <c r="I41" s="12"/>
      <c r="J41" s="12"/>
      <c r="K41" s="11"/>
    </row>
    <row r="42" spans="1:11" ht="45" customHeight="1" thickBot="1" x14ac:dyDescent="0.3">
      <c r="B42" s="8"/>
      <c r="C42" s="610" t="s">
        <v>59</v>
      </c>
      <c r="D42" s="611"/>
      <c r="E42" s="51" t="e">
        <f>(E32/1000*E17)+((E33/10)*E18/1000)</f>
        <v>#REF!</v>
      </c>
      <c r="F42" s="35" t="s">
        <v>72</v>
      </c>
      <c r="G42" s="35"/>
      <c r="H42" s="35"/>
      <c r="I42" s="35"/>
      <c r="J42" s="35"/>
      <c r="K42" s="36"/>
    </row>
    <row r="43" spans="1:11" x14ac:dyDescent="0.25">
      <c r="C43" s="8"/>
      <c r="D43" s="8"/>
      <c r="E43" s="8"/>
      <c r="F43" s="8"/>
      <c r="G43" s="8"/>
      <c r="H43" s="8"/>
      <c r="I43" s="8"/>
      <c r="J43" s="8"/>
      <c r="K43" s="8"/>
    </row>
    <row r="44" spans="1:11" ht="15.75" thickBot="1" x14ac:dyDescent="0.3">
      <c r="A44" s="8"/>
      <c r="B44" s="39"/>
      <c r="C44" s="39"/>
      <c r="D44" s="39"/>
      <c r="E44" s="39"/>
      <c r="F44" s="39"/>
      <c r="G44" s="39"/>
      <c r="H44" s="39"/>
      <c r="I44" s="39"/>
      <c r="J44" s="39"/>
      <c r="K44" s="39"/>
    </row>
    <row r="45" spans="1:11" ht="15.75" thickTop="1" x14ac:dyDescent="0.25">
      <c r="A45" s="8"/>
      <c r="C45" s="8"/>
      <c r="D45" s="8"/>
      <c r="E45" s="8"/>
      <c r="F45" s="8"/>
      <c r="G45" s="8"/>
      <c r="H45" s="8"/>
      <c r="I45" s="8"/>
      <c r="J45" s="8"/>
      <c r="K45" s="8"/>
    </row>
    <row r="46" spans="1:11" x14ac:dyDescent="0.25">
      <c r="C46" s="8"/>
      <c r="D46" s="8"/>
      <c r="E46" s="8"/>
      <c r="F46" s="8"/>
      <c r="G46" s="8"/>
      <c r="H46" s="8"/>
      <c r="I46" s="8"/>
      <c r="J46" s="8"/>
      <c r="K46" s="8"/>
    </row>
    <row r="47" spans="1:11" ht="15.75" customHeight="1" x14ac:dyDescent="0.25">
      <c r="B47" s="602" t="s">
        <v>14</v>
      </c>
      <c r="C47" s="603"/>
      <c r="D47" s="603"/>
      <c r="E47" s="2"/>
      <c r="F47" s="2"/>
      <c r="G47" s="1"/>
      <c r="H47" s="8"/>
      <c r="I47" s="8"/>
      <c r="J47" s="8"/>
      <c r="K47" s="8"/>
    </row>
    <row r="48" spans="1:11" ht="15" customHeight="1" x14ac:dyDescent="0.25">
      <c r="B48" s="19" t="s">
        <v>27</v>
      </c>
      <c r="C48" s="24"/>
      <c r="D48" s="24"/>
      <c r="E48" s="23" t="s">
        <v>28</v>
      </c>
      <c r="F48" s="17" t="s">
        <v>29</v>
      </c>
      <c r="G48" s="16" t="s">
        <v>30</v>
      </c>
      <c r="H48" s="8"/>
      <c r="I48" s="8"/>
      <c r="J48" s="8"/>
      <c r="K48" s="8"/>
    </row>
    <row r="49" spans="2:11" x14ac:dyDescent="0.25">
      <c r="B49" s="550" t="s">
        <v>91</v>
      </c>
      <c r="C49" s="551"/>
      <c r="D49" s="552"/>
      <c r="E49" s="63" t="e">
        <f>#REF!</f>
        <v>#REF!</v>
      </c>
      <c r="F49" s="30"/>
      <c r="G49" s="15"/>
      <c r="H49" s="8"/>
      <c r="I49" s="8"/>
      <c r="J49" s="8"/>
      <c r="K49" s="8"/>
    </row>
    <row r="50" spans="2:11" ht="15" customHeight="1" x14ac:dyDescent="0.25">
      <c r="B50" s="550" t="s">
        <v>92</v>
      </c>
      <c r="C50" s="551"/>
      <c r="D50" s="552"/>
      <c r="E50" s="63" t="e">
        <f>#REF!</f>
        <v>#REF!</v>
      </c>
      <c r="F50" s="30"/>
      <c r="G50" s="14"/>
      <c r="H50" s="8"/>
      <c r="I50" s="8"/>
      <c r="J50" s="8"/>
      <c r="K50" s="8"/>
    </row>
    <row r="51" spans="2:11" x14ac:dyDescent="0.25">
      <c r="B51" s="550" t="s">
        <v>95</v>
      </c>
      <c r="C51" s="551"/>
      <c r="D51" s="552"/>
      <c r="E51" s="64">
        <v>0.25</v>
      </c>
      <c r="F51" s="30"/>
      <c r="G51" s="14"/>
      <c r="H51" s="8"/>
      <c r="I51" s="8"/>
      <c r="J51" s="8"/>
      <c r="K51" s="8"/>
    </row>
    <row r="52" spans="2:11" x14ac:dyDescent="0.25">
      <c r="B52" s="550" t="s">
        <v>96</v>
      </c>
      <c r="C52" s="551"/>
      <c r="D52" s="552"/>
      <c r="E52" s="68">
        <v>10000</v>
      </c>
      <c r="F52" s="30"/>
      <c r="G52" s="15"/>
      <c r="H52" s="8"/>
      <c r="I52" s="8"/>
      <c r="J52" s="8"/>
      <c r="K52" s="8"/>
    </row>
    <row r="53" spans="2:11" x14ac:dyDescent="0.25">
      <c r="G53" s="10"/>
    </row>
    <row r="54" spans="2:11" x14ac:dyDescent="0.25">
      <c r="B54" s="3"/>
      <c r="C54" s="3"/>
      <c r="D54" s="3"/>
      <c r="E54" s="3"/>
      <c r="F54" s="3"/>
      <c r="G54" s="3"/>
      <c r="H54" s="3"/>
      <c r="I54" s="3"/>
      <c r="J54" s="3"/>
      <c r="K54" s="3"/>
    </row>
    <row r="55" spans="2:11" ht="15.75" x14ac:dyDescent="0.25">
      <c r="B55" s="602" t="s">
        <v>51</v>
      </c>
      <c r="C55" s="603"/>
      <c r="D55" s="603"/>
      <c r="E55" s="603"/>
      <c r="F55" s="603"/>
      <c r="G55" s="603"/>
      <c r="H55" s="603"/>
      <c r="I55" s="603"/>
      <c r="J55" s="603"/>
      <c r="K55" s="604"/>
    </row>
    <row r="56" spans="2:11" x14ac:dyDescent="0.25">
      <c r="B56" s="605"/>
      <c r="C56" s="606"/>
      <c r="D56" s="606"/>
      <c r="E56" s="606"/>
      <c r="F56" s="606"/>
      <c r="G56" s="606"/>
      <c r="H56" s="606"/>
      <c r="I56" s="606"/>
      <c r="J56" s="606"/>
      <c r="K56" s="607"/>
    </row>
    <row r="57" spans="2:11" x14ac:dyDescent="0.25">
      <c r="B57" s="608"/>
      <c r="C57" s="566"/>
      <c r="D57" s="566"/>
      <c r="E57" s="566"/>
      <c r="F57" s="566"/>
      <c r="G57" s="566"/>
      <c r="H57" s="566"/>
      <c r="I57" s="566"/>
      <c r="J57" s="566"/>
      <c r="K57" s="609"/>
    </row>
    <row r="58" spans="2:11" x14ac:dyDescent="0.25">
      <c r="B58" s="605"/>
      <c r="C58" s="606"/>
      <c r="D58" s="606"/>
      <c r="E58" s="606"/>
      <c r="F58" s="606"/>
      <c r="G58" s="606"/>
      <c r="H58" s="606"/>
      <c r="I58" s="606"/>
      <c r="J58" s="606"/>
      <c r="K58" s="607"/>
    </row>
    <row r="60" spans="2:11" ht="15.75" thickBot="1" x14ac:dyDescent="0.3"/>
    <row r="61" spans="2:11" ht="15.75" thickBot="1" x14ac:dyDescent="0.3">
      <c r="B61" s="25" t="s">
        <v>36</v>
      </c>
      <c r="C61" s="581" t="s">
        <v>62</v>
      </c>
      <c r="D61" s="581"/>
      <c r="E61" s="581"/>
      <c r="F61" s="581"/>
      <c r="G61" s="581"/>
      <c r="H61" s="581"/>
      <c r="I61" s="581"/>
      <c r="J61" s="581"/>
      <c r="K61" s="22"/>
    </row>
    <row r="62" spans="2:11" x14ac:dyDescent="0.25">
      <c r="B62" s="7"/>
      <c r="C62" s="582" t="s">
        <v>42</v>
      </c>
      <c r="D62" s="65" t="e">
        <f>(E51*E50)+E52</f>
        <v>#REF!</v>
      </c>
      <c r="E62" s="585"/>
      <c r="F62" s="12"/>
      <c r="G62" s="12"/>
      <c r="H62" s="12"/>
      <c r="I62" s="12"/>
      <c r="J62" s="12"/>
      <c r="K62" s="11"/>
    </row>
    <row r="63" spans="2:11" x14ac:dyDescent="0.25">
      <c r="B63" s="7"/>
      <c r="C63" s="583"/>
      <c r="D63" s="66"/>
      <c r="E63" s="586"/>
      <c r="F63" s="40"/>
      <c r="G63" s="40"/>
      <c r="H63" s="40"/>
      <c r="I63" s="40"/>
      <c r="J63" s="40"/>
      <c r="K63" s="41"/>
    </row>
    <row r="64" spans="2:11" ht="15.75" thickBot="1" x14ac:dyDescent="0.3">
      <c r="B64" s="7"/>
      <c r="C64" s="584"/>
      <c r="D64" s="67"/>
      <c r="E64" s="587"/>
      <c r="F64" s="42"/>
      <c r="G64" s="42"/>
      <c r="H64" s="42"/>
      <c r="I64" s="42"/>
      <c r="J64" s="42"/>
      <c r="K64" s="43"/>
    </row>
    <row r="65" spans="2:11" ht="15" customHeight="1" x14ac:dyDescent="0.25">
      <c r="B65" s="7"/>
      <c r="C65" s="582" t="s">
        <v>43</v>
      </c>
      <c r="D65" s="904"/>
      <c r="E65" s="585"/>
      <c r="F65" s="12"/>
      <c r="G65" s="12"/>
      <c r="H65" s="12"/>
      <c r="I65" s="12"/>
      <c r="J65" s="12"/>
      <c r="K65" s="11"/>
    </row>
    <row r="66" spans="2:11" x14ac:dyDescent="0.25">
      <c r="B66" s="7"/>
      <c r="C66" s="583"/>
      <c r="D66" s="905"/>
      <c r="E66" s="586"/>
      <c r="F66" s="40"/>
      <c r="G66" s="40"/>
      <c r="H66" s="40"/>
      <c r="I66" s="40"/>
      <c r="J66" s="40"/>
      <c r="K66" s="41"/>
    </row>
    <row r="67" spans="2:11" ht="15.75" thickBot="1" x14ac:dyDescent="0.3">
      <c r="B67" s="7"/>
      <c r="C67" s="584"/>
      <c r="D67" s="906"/>
      <c r="E67" s="587"/>
      <c r="F67" s="42"/>
      <c r="G67" s="42"/>
      <c r="H67" s="42"/>
      <c r="I67" s="42"/>
      <c r="J67" s="42"/>
      <c r="K67" s="43"/>
    </row>
  </sheetData>
  <mergeCells count="49">
    <mergeCell ref="C65:C67"/>
    <mergeCell ref="D65:D67"/>
    <mergeCell ref="E65:E67"/>
    <mergeCell ref="B12:D12"/>
    <mergeCell ref="D39:J39"/>
    <mergeCell ref="D40:J40"/>
    <mergeCell ref="C42:D42"/>
    <mergeCell ref="B17:D17"/>
    <mergeCell ref="B18:D18"/>
    <mergeCell ref="C31:D31"/>
    <mergeCell ref="C61:J61"/>
    <mergeCell ref="C62:C64"/>
    <mergeCell ref="E62:E64"/>
    <mergeCell ref="B55:K55"/>
    <mergeCell ref="B56:K56"/>
    <mergeCell ref="B57:K57"/>
    <mergeCell ref="B58:K58"/>
    <mergeCell ref="D38:J38"/>
    <mergeCell ref="C41:D41"/>
    <mergeCell ref="B49:D49"/>
    <mergeCell ref="B50:D50"/>
    <mergeCell ref="B51:D51"/>
    <mergeCell ref="B52:D52"/>
    <mergeCell ref="B24:K24"/>
    <mergeCell ref="B22:K22"/>
    <mergeCell ref="B47:D47"/>
    <mergeCell ref="B25:K25"/>
    <mergeCell ref="B26:K26"/>
    <mergeCell ref="C29:K29"/>
    <mergeCell ref="C30:D30"/>
    <mergeCell ref="C32:D32"/>
    <mergeCell ref="C36:J36"/>
    <mergeCell ref="D37:J37"/>
    <mergeCell ref="C33:D33"/>
    <mergeCell ref="B16:D16"/>
    <mergeCell ref="B20:K20"/>
    <mergeCell ref="B21:K21"/>
    <mergeCell ref="B23:K23"/>
    <mergeCell ref="B1:J1"/>
    <mergeCell ref="C3:K3"/>
    <mergeCell ref="C4:K4"/>
    <mergeCell ref="B5:B6"/>
    <mergeCell ref="C5:K6"/>
    <mergeCell ref="B9:D9"/>
    <mergeCell ref="B10:D10"/>
    <mergeCell ref="B11:D11"/>
    <mergeCell ref="B13:D13"/>
    <mergeCell ref="B15:D15"/>
    <mergeCell ref="B14:D14"/>
  </mergeCells>
  <phoneticPr fontId="17"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7"/>
  <sheetViews>
    <sheetView topLeftCell="A40" workbookViewId="0">
      <selection activeCell="E51" sqref="E51"/>
    </sheetView>
  </sheetViews>
  <sheetFormatPr defaultRowHeight="15" x14ac:dyDescent="0.25"/>
  <cols>
    <col min="1" max="1" width="5.28515625" customWidth="1"/>
    <col min="2" max="2" width="34.5703125" customWidth="1"/>
    <col min="3" max="6" width="15.7109375" customWidth="1"/>
    <col min="7" max="7" width="16.7109375" customWidth="1"/>
    <col min="8" max="15" width="15.7109375" customWidth="1"/>
  </cols>
  <sheetData>
    <row r="1" spans="2:42" ht="26.25" x14ac:dyDescent="0.25">
      <c r="B1" s="640" t="s">
        <v>113</v>
      </c>
      <c r="C1" s="640"/>
      <c r="D1" s="640"/>
      <c r="E1" s="640"/>
      <c r="F1" s="640"/>
      <c r="G1" s="640"/>
      <c r="H1" s="640"/>
      <c r="I1" s="640"/>
      <c r="J1" s="640"/>
    </row>
    <row r="2" spans="2:42" ht="15.75" thickBot="1" x14ac:dyDescent="0.3"/>
    <row r="3" spans="2:42" ht="15" customHeight="1" x14ac:dyDescent="0.25">
      <c r="B3" s="5" t="s">
        <v>15</v>
      </c>
      <c r="C3" s="927" t="s">
        <v>99</v>
      </c>
      <c r="D3" s="625"/>
      <c r="E3" s="625"/>
      <c r="F3" s="625"/>
      <c r="G3" s="625"/>
      <c r="H3" s="625"/>
      <c r="I3" s="625"/>
      <c r="J3" s="625"/>
      <c r="K3" s="626"/>
    </row>
    <row r="4" spans="2:42" x14ac:dyDescent="0.25">
      <c r="B4" s="4" t="s">
        <v>0</v>
      </c>
      <c r="C4" s="928" t="s">
        <v>1</v>
      </c>
      <c r="D4" s="929"/>
      <c r="E4" s="929"/>
      <c r="F4" s="929"/>
      <c r="G4" s="929"/>
      <c r="H4" s="929"/>
      <c r="I4" s="929"/>
      <c r="J4" s="929"/>
      <c r="K4" s="930"/>
    </row>
    <row r="5" spans="2:42" ht="35.1" customHeight="1" x14ac:dyDescent="0.25">
      <c r="B5" s="931" t="s">
        <v>13</v>
      </c>
      <c r="C5" s="939" t="s">
        <v>90</v>
      </c>
      <c r="D5" s="934"/>
      <c r="E5" s="934"/>
      <c r="F5" s="934"/>
      <c r="G5" s="934"/>
      <c r="H5" s="934"/>
      <c r="I5" s="934"/>
      <c r="J5" s="934"/>
      <c r="K5" s="935"/>
    </row>
    <row r="6" spans="2:42" ht="35.1" customHeight="1" thickBot="1" x14ac:dyDescent="0.3">
      <c r="B6" s="932"/>
      <c r="C6" s="936"/>
      <c r="D6" s="937"/>
      <c r="E6" s="937"/>
      <c r="F6" s="937"/>
      <c r="G6" s="937"/>
      <c r="H6" s="937"/>
      <c r="I6" s="937"/>
      <c r="J6" s="937"/>
      <c r="K6" s="938"/>
    </row>
    <row r="7" spans="2:42" x14ac:dyDescent="0.25">
      <c r="C7" s="33"/>
      <c r="F7" s="33"/>
    </row>
    <row r="8" spans="2:42" x14ac:dyDescent="0.25">
      <c r="C8" s="33"/>
      <c r="E8" s="3"/>
      <c r="F8" s="18"/>
      <c r="G8" s="3"/>
    </row>
    <row r="9" spans="2:42" ht="15.75" customHeight="1" x14ac:dyDescent="0.25">
      <c r="B9" s="602" t="s">
        <v>26</v>
      </c>
      <c r="C9" s="603"/>
      <c r="D9" s="603"/>
      <c r="E9" s="70"/>
      <c r="F9" s="70"/>
      <c r="G9" s="71"/>
      <c r="H9" s="8"/>
      <c r="I9" s="8"/>
      <c r="J9" s="44"/>
      <c r="K9" s="44"/>
      <c r="L9" s="44"/>
      <c r="M9" s="44"/>
      <c r="N9" s="44"/>
      <c r="O9" s="44"/>
      <c r="P9" s="44"/>
      <c r="Q9" s="44"/>
      <c r="R9" s="8"/>
      <c r="S9" s="8"/>
      <c r="T9" s="8"/>
      <c r="U9" s="8"/>
      <c r="V9" s="8"/>
      <c r="W9" s="8"/>
      <c r="X9" s="8"/>
      <c r="Y9" s="8"/>
      <c r="Z9" s="8"/>
      <c r="AA9" s="8"/>
      <c r="AB9" s="8"/>
      <c r="AC9" s="8"/>
      <c r="AD9" s="8"/>
      <c r="AE9" s="8"/>
      <c r="AF9" s="8"/>
      <c r="AG9" s="8"/>
    </row>
    <row r="10" spans="2:42" ht="15" customHeight="1" x14ac:dyDescent="0.25">
      <c r="B10" s="924" t="s">
        <v>27</v>
      </c>
      <c r="C10" s="925"/>
      <c r="D10" s="926"/>
      <c r="E10" s="23" t="s">
        <v>28</v>
      </c>
      <c r="F10" s="17" t="s">
        <v>29</v>
      </c>
      <c r="G10" s="16" t="s">
        <v>30</v>
      </c>
      <c r="H10" s="8"/>
      <c r="I10" s="8"/>
      <c r="J10" s="40"/>
      <c r="K10" s="40"/>
      <c r="L10" s="40"/>
      <c r="M10" s="40"/>
      <c r="N10" s="40"/>
      <c r="O10" s="40"/>
      <c r="P10" s="40"/>
      <c r="Q10" s="40"/>
      <c r="R10" s="44"/>
      <c r="S10" s="8"/>
      <c r="T10" s="8"/>
      <c r="U10" s="8"/>
      <c r="V10" s="8"/>
      <c r="W10" s="8"/>
      <c r="X10" s="8"/>
      <c r="Y10" s="8"/>
      <c r="Z10" s="8"/>
      <c r="AA10" s="8"/>
      <c r="AB10" s="8"/>
      <c r="AC10" s="8"/>
      <c r="AD10" s="8"/>
      <c r="AE10" s="8"/>
      <c r="AF10" s="8"/>
      <c r="AG10" s="8"/>
    </row>
    <row r="11" spans="2:42" ht="17.25" customHeight="1" x14ac:dyDescent="0.25">
      <c r="B11" s="550" t="s">
        <v>75</v>
      </c>
      <c r="C11" s="551"/>
      <c r="D11" s="552"/>
      <c r="E11" s="89">
        <v>0</v>
      </c>
      <c r="F11" s="30" t="s">
        <v>73</v>
      </c>
      <c r="G11" s="14" t="s">
        <v>76</v>
      </c>
      <c r="H11" s="8"/>
      <c r="I11" s="44"/>
      <c r="J11" s="44"/>
      <c r="K11" s="40"/>
      <c r="L11" s="40"/>
      <c r="M11" s="40"/>
      <c r="N11" s="40"/>
      <c r="O11" s="40"/>
      <c r="P11" s="40"/>
      <c r="Q11" s="40"/>
      <c r="R11" s="40"/>
      <c r="S11" s="8"/>
      <c r="T11" s="8"/>
      <c r="U11" s="8"/>
      <c r="V11" s="8"/>
      <c r="W11" s="8"/>
      <c r="X11" s="8"/>
      <c r="Y11" s="8"/>
      <c r="Z11" s="8"/>
      <c r="AA11" s="8"/>
      <c r="AB11" s="8"/>
      <c r="AC11" s="8"/>
      <c r="AD11" s="8"/>
      <c r="AE11" s="8"/>
      <c r="AF11" s="8"/>
      <c r="AG11" s="8"/>
      <c r="AH11" s="8"/>
      <c r="AI11" s="8"/>
      <c r="AJ11" s="8"/>
      <c r="AK11" s="8"/>
      <c r="AL11" s="8"/>
      <c r="AM11" s="8"/>
      <c r="AN11" s="8"/>
      <c r="AO11" s="8"/>
      <c r="AP11" s="8"/>
    </row>
    <row r="12" spans="2:42" ht="17.25" customHeight="1" x14ac:dyDescent="0.25">
      <c r="B12" s="550" t="s">
        <v>75</v>
      </c>
      <c r="C12" s="551"/>
      <c r="D12" s="552"/>
      <c r="E12" s="89">
        <v>0</v>
      </c>
      <c r="F12" s="30" t="s">
        <v>73</v>
      </c>
      <c r="G12" s="14" t="s">
        <v>77</v>
      </c>
      <c r="H12" s="8"/>
      <c r="I12" s="44"/>
      <c r="J12" s="44"/>
      <c r="K12" s="40"/>
      <c r="L12" s="40"/>
      <c r="M12" s="40"/>
      <c r="N12" s="40"/>
      <c r="O12" s="40"/>
      <c r="P12" s="40"/>
      <c r="Q12" s="40"/>
      <c r="R12" s="40"/>
      <c r="S12" s="8"/>
      <c r="T12" s="8"/>
      <c r="U12" s="8"/>
      <c r="V12" s="8"/>
      <c r="W12" s="8"/>
      <c r="X12" s="8"/>
      <c r="Y12" s="8"/>
      <c r="Z12" s="8"/>
      <c r="AA12" s="8"/>
      <c r="AB12" s="8"/>
      <c r="AC12" s="8"/>
      <c r="AD12" s="8"/>
      <c r="AE12" s="8"/>
      <c r="AF12" s="8"/>
      <c r="AG12" s="8"/>
      <c r="AH12" s="8"/>
      <c r="AI12" s="8"/>
      <c r="AJ12" s="8"/>
      <c r="AK12" s="8"/>
      <c r="AL12" s="8"/>
      <c r="AM12" s="8"/>
      <c r="AN12" s="8"/>
      <c r="AO12" s="8"/>
      <c r="AP12" s="8"/>
    </row>
    <row r="13" spans="2:42" ht="17.25" customHeight="1" x14ac:dyDescent="0.35">
      <c r="B13" s="550" t="s">
        <v>111</v>
      </c>
      <c r="C13" s="551"/>
      <c r="D13" s="552"/>
      <c r="E13" s="88" t="e">
        <f>0.02*#REF!</f>
        <v>#REF!</v>
      </c>
      <c r="F13" s="30" t="s">
        <v>74</v>
      </c>
      <c r="G13" s="14" t="s">
        <v>81</v>
      </c>
      <c r="H13" s="8" t="s">
        <v>88</v>
      </c>
      <c r="I13" s="44"/>
      <c r="J13" s="44"/>
      <c r="K13" s="40"/>
      <c r="L13" s="40"/>
      <c r="M13" s="40"/>
      <c r="N13" s="40"/>
      <c r="O13" s="40"/>
      <c r="P13" s="40"/>
      <c r="Q13" s="40"/>
      <c r="R13" s="40"/>
      <c r="S13" s="8"/>
      <c r="T13" s="8"/>
      <c r="U13" s="8"/>
      <c r="V13" s="8"/>
      <c r="W13" s="8"/>
      <c r="X13" s="8"/>
      <c r="Y13" s="8"/>
      <c r="Z13" s="8"/>
      <c r="AA13" s="8"/>
      <c r="AB13" s="8"/>
      <c r="AC13" s="8"/>
      <c r="AD13" s="8"/>
      <c r="AE13" s="8"/>
      <c r="AF13" s="8"/>
      <c r="AG13" s="8"/>
      <c r="AH13" s="8"/>
      <c r="AI13" s="8"/>
      <c r="AJ13" s="8"/>
      <c r="AK13" s="8"/>
      <c r="AL13" s="8"/>
      <c r="AM13" s="8"/>
      <c r="AN13" s="8"/>
      <c r="AO13" s="8"/>
      <c r="AP13" s="8"/>
    </row>
    <row r="14" spans="2:42" ht="17.25" customHeight="1" x14ac:dyDescent="0.35">
      <c r="B14" s="550" t="s">
        <v>112</v>
      </c>
      <c r="C14" s="551"/>
      <c r="D14" s="552"/>
      <c r="E14" s="88" t="e">
        <f>0.04*#REF!</f>
        <v>#REF!</v>
      </c>
      <c r="F14" s="30" t="s">
        <v>74</v>
      </c>
      <c r="G14" s="14" t="s">
        <v>80</v>
      </c>
      <c r="H14" s="8" t="s">
        <v>89</v>
      </c>
      <c r="I14" s="44"/>
      <c r="J14" s="44"/>
      <c r="K14" s="40"/>
      <c r="L14" s="40"/>
      <c r="M14" s="40"/>
      <c r="N14" s="40"/>
      <c r="O14" s="40"/>
      <c r="P14" s="40"/>
      <c r="Q14" s="40"/>
      <c r="R14" s="40"/>
      <c r="S14" s="8"/>
      <c r="T14" s="8"/>
      <c r="U14" s="8"/>
      <c r="V14" s="8"/>
      <c r="W14" s="8"/>
      <c r="X14" s="8"/>
      <c r="Y14" s="8"/>
      <c r="Z14" s="8"/>
      <c r="AA14" s="8"/>
      <c r="AB14" s="8"/>
      <c r="AC14" s="8"/>
      <c r="AD14" s="8"/>
      <c r="AE14" s="8"/>
      <c r="AF14" s="8"/>
      <c r="AG14" s="8"/>
      <c r="AH14" s="8"/>
      <c r="AI14" s="8"/>
      <c r="AJ14" s="8"/>
      <c r="AK14" s="8"/>
      <c r="AL14" s="8"/>
      <c r="AM14" s="8"/>
      <c r="AN14" s="8"/>
      <c r="AO14" s="8"/>
      <c r="AP14" s="8"/>
    </row>
    <row r="15" spans="2:42" ht="15" customHeight="1" x14ac:dyDescent="0.25">
      <c r="B15" s="921" t="s">
        <v>114</v>
      </c>
      <c r="C15" s="922"/>
      <c r="D15" s="923"/>
      <c r="E15" s="60" t="e">
        <f>#REF!</f>
        <v>#REF!</v>
      </c>
      <c r="F15" s="37" t="s">
        <v>4</v>
      </c>
      <c r="G15" s="15" t="s">
        <v>31</v>
      </c>
      <c r="H15" s="8"/>
      <c r="I15" s="8"/>
      <c r="J15" s="8"/>
      <c r="K15" s="8"/>
      <c r="O15" s="8"/>
      <c r="P15" s="8"/>
      <c r="Q15" s="8"/>
      <c r="R15" s="8"/>
      <c r="S15" s="8"/>
    </row>
    <row r="16" spans="2:42" ht="30" x14ac:dyDescent="0.25">
      <c r="B16" s="921" t="s">
        <v>115</v>
      </c>
      <c r="C16" s="922"/>
      <c r="D16" s="923"/>
      <c r="E16" s="60" t="e">
        <f>#REF!</f>
        <v>#REF!</v>
      </c>
      <c r="F16" s="37" t="s">
        <v>5</v>
      </c>
      <c r="G16" s="15" t="s">
        <v>32</v>
      </c>
      <c r="I16" s="33"/>
    </row>
    <row r="17" spans="2:12" ht="30" x14ac:dyDescent="0.25">
      <c r="B17" s="550" t="s">
        <v>98</v>
      </c>
      <c r="C17" s="551"/>
      <c r="D17" s="552"/>
      <c r="E17" s="60" t="e">
        <f>#REF!</f>
        <v>#REF!</v>
      </c>
      <c r="F17" s="37" t="s">
        <v>37</v>
      </c>
      <c r="G17" s="15" t="s">
        <v>40</v>
      </c>
      <c r="I17" s="33"/>
    </row>
    <row r="18" spans="2:12" ht="15" customHeight="1" x14ac:dyDescent="0.25">
      <c r="B18" s="550" t="s">
        <v>107</v>
      </c>
      <c r="C18" s="551"/>
      <c r="D18" s="552"/>
      <c r="E18" s="60" t="e">
        <f>#REF!</f>
        <v>#REF!</v>
      </c>
      <c r="F18" s="37" t="s">
        <v>38</v>
      </c>
      <c r="G18" s="15" t="s">
        <v>39</v>
      </c>
      <c r="I18" s="33"/>
    </row>
    <row r="19" spans="2:12" x14ac:dyDescent="0.25">
      <c r="B19" s="32"/>
      <c r="C19" s="3"/>
      <c r="D19" s="47"/>
      <c r="E19" s="47"/>
      <c r="F19" s="47"/>
      <c r="G19" s="47"/>
      <c r="H19" s="47"/>
      <c r="I19" s="47"/>
      <c r="J19" s="47"/>
      <c r="K19" s="47"/>
      <c r="L19" s="8"/>
    </row>
    <row r="20" spans="2:12" ht="15" customHeight="1" x14ac:dyDescent="0.25">
      <c r="B20" s="602" t="s">
        <v>25</v>
      </c>
      <c r="C20" s="603"/>
      <c r="D20" s="603"/>
      <c r="E20" s="603"/>
      <c r="F20" s="603"/>
      <c r="G20" s="603"/>
      <c r="H20" s="603"/>
      <c r="I20" s="603"/>
      <c r="J20" s="603"/>
      <c r="K20" s="604"/>
    </row>
    <row r="21" spans="2:12" ht="15" customHeight="1" x14ac:dyDescent="0.25">
      <c r="B21" s="919" t="s">
        <v>45</v>
      </c>
      <c r="C21" s="569"/>
      <c r="D21" s="569"/>
      <c r="E21" s="569"/>
      <c r="F21" s="569"/>
      <c r="G21" s="569"/>
      <c r="H21" s="569"/>
      <c r="I21" s="569"/>
      <c r="J21" s="569"/>
      <c r="K21" s="920"/>
    </row>
    <row r="22" spans="2:12" ht="15" customHeight="1" x14ac:dyDescent="0.25">
      <c r="B22" s="919" t="s">
        <v>83</v>
      </c>
      <c r="C22" s="569"/>
      <c r="D22" s="569"/>
      <c r="E22" s="569"/>
      <c r="F22" s="569"/>
      <c r="G22" s="569"/>
      <c r="H22" s="569"/>
      <c r="I22" s="569"/>
      <c r="J22" s="569"/>
      <c r="K22" s="920"/>
    </row>
    <row r="23" spans="2:12" ht="15" customHeight="1" x14ac:dyDescent="0.25">
      <c r="B23" s="919" t="s">
        <v>48</v>
      </c>
      <c r="C23" s="569"/>
      <c r="D23" s="569"/>
      <c r="E23" s="569"/>
      <c r="F23" s="569"/>
      <c r="G23" s="569"/>
      <c r="H23" s="569"/>
      <c r="I23" s="569"/>
      <c r="J23" s="569"/>
      <c r="K23" s="920"/>
    </row>
    <row r="24" spans="2:12" ht="15" customHeight="1" x14ac:dyDescent="0.25">
      <c r="B24" s="919"/>
      <c r="C24" s="569"/>
      <c r="D24" s="569"/>
      <c r="E24" s="569"/>
      <c r="F24" s="569"/>
      <c r="G24" s="569"/>
      <c r="H24" s="569"/>
      <c r="I24" s="569"/>
      <c r="J24" s="569"/>
      <c r="K24" s="920"/>
    </row>
    <row r="25" spans="2:12" ht="15" customHeight="1" x14ac:dyDescent="0.25">
      <c r="B25" s="605"/>
      <c r="C25" s="606"/>
      <c r="D25" s="606"/>
      <c r="E25" s="606"/>
      <c r="F25" s="606"/>
      <c r="G25" s="606"/>
      <c r="H25" s="606"/>
      <c r="I25" s="606"/>
      <c r="J25" s="606"/>
      <c r="K25" s="607"/>
    </row>
    <row r="26" spans="2:12" ht="15" customHeight="1" x14ac:dyDescent="0.25">
      <c r="B26" s="605"/>
      <c r="C26" s="606"/>
      <c r="D26" s="606"/>
      <c r="E26" s="606"/>
      <c r="F26" s="606"/>
      <c r="G26" s="606"/>
      <c r="H26" s="606"/>
      <c r="I26" s="606"/>
      <c r="J26" s="606"/>
      <c r="K26" s="607"/>
    </row>
    <row r="28" spans="2:12" ht="15.75" thickBot="1" x14ac:dyDescent="0.3">
      <c r="B28" s="33"/>
      <c r="C28" s="6"/>
      <c r="D28" s="6"/>
      <c r="E28" s="6"/>
      <c r="F28" s="6"/>
      <c r="G28" s="6"/>
      <c r="H28" s="6"/>
      <c r="I28" s="6"/>
      <c r="J28" s="6"/>
      <c r="K28" s="6"/>
    </row>
    <row r="29" spans="2:12" ht="75" customHeight="1" x14ac:dyDescent="0.25">
      <c r="B29" s="25" t="s">
        <v>22</v>
      </c>
      <c r="C29" s="914" t="s">
        <v>82</v>
      </c>
      <c r="D29" s="915"/>
      <c r="E29" s="915"/>
      <c r="F29" s="915"/>
      <c r="G29" s="915"/>
      <c r="H29" s="915"/>
      <c r="I29" s="915"/>
      <c r="J29" s="915"/>
      <c r="K29" s="916"/>
    </row>
    <row r="30" spans="2:12" ht="45" customHeight="1" x14ac:dyDescent="0.25">
      <c r="B30" s="25"/>
      <c r="C30" s="622" t="s">
        <v>23</v>
      </c>
      <c r="D30" s="623"/>
      <c r="E30" s="50" t="e">
        <f>E11*E13*E15</f>
        <v>#REF!</v>
      </c>
      <c r="F30" s="75" t="s">
        <v>55</v>
      </c>
      <c r="G30" s="54"/>
      <c r="H30" s="54"/>
      <c r="I30" s="54"/>
      <c r="J30" s="54"/>
      <c r="K30" s="55"/>
    </row>
    <row r="31" spans="2:12" ht="45" customHeight="1" x14ac:dyDescent="0.25">
      <c r="B31" s="52"/>
      <c r="C31" s="622" t="s">
        <v>24</v>
      </c>
      <c r="D31" s="623"/>
      <c r="E31" s="53" t="e">
        <f>E12*E13*E16</f>
        <v>#REF!</v>
      </c>
      <c r="F31" s="74" t="s">
        <v>56</v>
      </c>
      <c r="G31" s="54"/>
      <c r="H31" s="54"/>
      <c r="I31" s="54"/>
      <c r="J31" s="54"/>
      <c r="K31" s="55"/>
    </row>
    <row r="32" spans="2:12" ht="45" customHeight="1" x14ac:dyDescent="0.25">
      <c r="B32" s="52"/>
      <c r="C32" s="622" t="s">
        <v>57</v>
      </c>
      <c r="D32" s="623"/>
      <c r="E32" s="53" t="e">
        <f>E11*E14*E15</f>
        <v>#REF!</v>
      </c>
      <c r="F32" s="75" t="s">
        <v>55</v>
      </c>
      <c r="G32" s="54"/>
      <c r="H32" s="54"/>
      <c r="I32" s="54"/>
      <c r="J32" s="54"/>
      <c r="K32" s="55"/>
    </row>
    <row r="33" spans="1:11" ht="45" customHeight="1" thickBot="1" x14ac:dyDescent="0.3">
      <c r="B33" s="8"/>
      <c r="C33" s="917" t="s">
        <v>60</v>
      </c>
      <c r="D33" s="918"/>
      <c r="E33" s="53" t="e">
        <f>E12*E14*E16</f>
        <v>#REF!</v>
      </c>
      <c r="F33" s="72" t="s">
        <v>56</v>
      </c>
      <c r="G33" s="56"/>
      <c r="H33" s="56"/>
      <c r="I33" s="56"/>
      <c r="J33" s="56"/>
      <c r="K33" s="57"/>
    </row>
    <row r="34" spans="1:11" x14ac:dyDescent="0.25">
      <c r="C34" s="9"/>
      <c r="D34" s="9"/>
      <c r="E34" s="9"/>
      <c r="F34" s="9"/>
      <c r="G34" s="9"/>
    </row>
    <row r="35" spans="1:11" ht="15.75" thickBot="1" x14ac:dyDescent="0.3"/>
    <row r="36" spans="1:11" ht="30" customHeight="1" x14ac:dyDescent="0.25">
      <c r="B36" s="25" t="s">
        <v>35</v>
      </c>
      <c r="C36" s="581" t="s">
        <v>41</v>
      </c>
      <c r="D36" s="581"/>
      <c r="E36" s="581"/>
      <c r="F36" s="581"/>
      <c r="G36" s="581"/>
      <c r="H36" s="581"/>
      <c r="I36" s="581"/>
      <c r="J36" s="581"/>
      <c r="K36" s="22"/>
    </row>
    <row r="37" spans="1:11" ht="15" customHeight="1" x14ac:dyDescent="0.25">
      <c r="B37" s="7"/>
      <c r="C37" s="20" t="s">
        <v>21</v>
      </c>
      <c r="D37" s="627" t="s">
        <v>8</v>
      </c>
      <c r="E37" s="745"/>
      <c r="F37" s="745"/>
      <c r="G37" s="745"/>
      <c r="H37" s="745"/>
      <c r="I37" s="745"/>
      <c r="J37" s="745"/>
      <c r="K37" s="27"/>
    </row>
    <row r="38" spans="1:11" ht="15" customHeight="1" x14ac:dyDescent="0.25">
      <c r="B38" s="7"/>
      <c r="C38" s="26" t="s">
        <v>9</v>
      </c>
      <c r="D38" s="627" t="s">
        <v>10</v>
      </c>
      <c r="E38" s="627"/>
      <c r="F38" s="627"/>
      <c r="G38" s="627"/>
      <c r="H38" s="627"/>
      <c r="I38" s="627"/>
      <c r="J38" s="627"/>
      <c r="K38" s="27"/>
    </row>
    <row r="39" spans="1:11" ht="15" customHeight="1" x14ac:dyDescent="0.25">
      <c r="B39" s="7"/>
      <c r="C39" s="28">
        <v>1000</v>
      </c>
      <c r="D39" s="907" t="s">
        <v>11</v>
      </c>
      <c r="E39" s="643"/>
      <c r="F39" s="643"/>
      <c r="G39" s="643"/>
      <c r="H39" s="643"/>
      <c r="I39" s="643"/>
      <c r="J39" s="908"/>
      <c r="K39" s="27"/>
    </row>
    <row r="40" spans="1:11" ht="15" customHeight="1" thickBot="1" x14ac:dyDescent="0.3">
      <c r="B40" s="7"/>
      <c r="C40" s="29">
        <v>10</v>
      </c>
      <c r="D40" s="909" t="s">
        <v>12</v>
      </c>
      <c r="E40" s="643"/>
      <c r="F40" s="643"/>
      <c r="G40" s="643"/>
      <c r="H40" s="643"/>
      <c r="I40" s="643"/>
      <c r="J40" s="908"/>
      <c r="K40" s="27"/>
    </row>
    <row r="41" spans="1:11" ht="45" customHeight="1" thickBot="1" x14ac:dyDescent="0.3">
      <c r="B41" s="8"/>
      <c r="C41" s="610" t="s">
        <v>20</v>
      </c>
      <c r="D41" s="611"/>
      <c r="E41" s="73" t="e">
        <f>(E30/1000*E17)+((E31/10)*E18/1000)</f>
        <v>#REF!</v>
      </c>
      <c r="F41" s="12" t="s">
        <v>72</v>
      </c>
      <c r="G41" s="12"/>
      <c r="H41" s="12"/>
      <c r="I41" s="12"/>
      <c r="J41" s="12"/>
      <c r="K41" s="11"/>
    </row>
    <row r="42" spans="1:11" ht="45" customHeight="1" thickBot="1" x14ac:dyDescent="0.3">
      <c r="B42" s="8"/>
      <c r="C42" s="610" t="s">
        <v>59</v>
      </c>
      <c r="D42" s="611"/>
      <c r="E42" s="51" t="e">
        <f>(E32/1000*E17)+((E33/10)*E18/1000)</f>
        <v>#REF!</v>
      </c>
      <c r="F42" s="35" t="s">
        <v>72</v>
      </c>
      <c r="G42" s="35"/>
      <c r="H42" s="35"/>
      <c r="I42" s="35"/>
      <c r="J42" s="35"/>
      <c r="K42" s="36"/>
    </row>
    <row r="43" spans="1:11" x14ac:dyDescent="0.25">
      <c r="C43" s="8"/>
      <c r="D43" s="8"/>
      <c r="E43" s="8"/>
      <c r="F43" s="8"/>
      <c r="G43" s="8"/>
      <c r="H43" s="8"/>
      <c r="I43" s="8"/>
      <c r="J43" s="8"/>
      <c r="K43" s="8"/>
    </row>
    <row r="44" spans="1:11" ht="15.75" thickBot="1" x14ac:dyDescent="0.3">
      <c r="A44" s="8"/>
      <c r="B44" s="39"/>
      <c r="C44" s="39"/>
      <c r="D44" s="39"/>
      <c r="E44" s="39"/>
      <c r="F44" s="39"/>
      <c r="G44" s="39"/>
      <c r="H44" s="39"/>
      <c r="I44" s="39"/>
      <c r="J44" s="39"/>
      <c r="K44" s="39"/>
    </row>
    <row r="45" spans="1:11" ht="15.75" thickTop="1" x14ac:dyDescent="0.25">
      <c r="A45" s="8"/>
      <c r="C45" s="8"/>
      <c r="D45" s="8"/>
      <c r="E45" s="8"/>
      <c r="F45" s="8"/>
      <c r="G45" s="8"/>
      <c r="H45" s="8"/>
      <c r="I45" s="8"/>
      <c r="J45" s="8"/>
      <c r="K45" s="8"/>
    </row>
    <row r="46" spans="1:11" x14ac:dyDescent="0.25">
      <c r="C46" s="8"/>
      <c r="D46" s="8"/>
      <c r="E46" s="8"/>
      <c r="F46" s="8"/>
      <c r="G46" s="8"/>
      <c r="H46" s="8"/>
      <c r="I46" s="8"/>
      <c r="J46" s="8"/>
      <c r="K46" s="8"/>
    </row>
    <row r="47" spans="1:11" ht="15.75" customHeight="1" x14ac:dyDescent="0.25">
      <c r="B47" s="602" t="s">
        <v>14</v>
      </c>
      <c r="C47" s="603"/>
      <c r="D47" s="603"/>
      <c r="E47" s="70"/>
      <c r="F47" s="70"/>
      <c r="G47" s="71"/>
      <c r="H47" s="8"/>
      <c r="I47" s="8"/>
      <c r="J47" s="8"/>
      <c r="K47" s="8"/>
    </row>
    <row r="48" spans="1:11" ht="15" customHeight="1" x14ac:dyDescent="0.25">
      <c r="B48" s="19" t="s">
        <v>27</v>
      </c>
      <c r="C48" s="24"/>
      <c r="D48" s="24"/>
      <c r="E48" s="23" t="s">
        <v>28</v>
      </c>
      <c r="F48" s="17" t="s">
        <v>29</v>
      </c>
      <c r="G48" s="16" t="s">
        <v>30</v>
      </c>
      <c r="H48" s="8"/>
      <c r="I48" s="8"/>
      <c r="J48" s="8"/>
      <c r="K48" s="8"/>
    </row>
    <row r="49" spans="2:11" x14ac:dyDescent="0.25">
      <c r="B49" s="550" t="s">
        <v>91</v>
      </c>
      <c r="C49" s="551"/>
      <c r="D49" s="552"/>
      <c r="E49" s="63" t="e">
        <f>#REF!</f>
        <v>#REF!</v>
      </c>
      <c r="F49" s="30"/>
      <c r="G49" s="15"/>
      <c r="H49" s="8"/>
      <c r="I49" s="8"/>
      <c r="J49" s="8"/>
      <c r="K49" s="8"/>
    </row>
    <row r="50" spans="2:11" ht="15" customHeight="1" x14ac:dyDescent="0.25">
      <c r="B50" s="550" t="s">
        <v>92</v>
      </c>
      <c r="C50" s="551"/>
      <c r="D50" s="552"/>
      <c r="E50" s="63" t="e">
        <f>#REF!</f>
        <v>#REF!</v>
      </c>
      <c r="F50" s="30"/>
      <c r="G50" s="14"/>
      <c r="H50" s="8"/>
      <c r="I50" s="8"/>
      <c r="J50" s="8"/>
      <c r="K50" s="8"/>
    </row>
    <row r="51" spans="2:11" x14ac:dyDescent="0.25">
      <c r="B51" s="550" t="s">
        <v>95</v>
      </c>
      <c r="C51" s="551"/>
      <c r="D51" s="552"/>
      <c r="E51" s="64">
        <v>0.25</v>
      </c>
      <c r="F51" s="30"/>
      <c r="G51" s="14"/>
      <c r="H51" s="8"/>
      <c r="I51" s="8"/>
      <c r="J51" s="8"/>
      <c r="K51" s="8"/>
    </row>
    <row r="52" spans="2:11" x14ac:dyDescent="0.25">
      <c r="B52" s="550" t="s">
        <v>96</v>
      </c>
      <c r="C52" s="551"/>
      <c r="D52" s="552"/>
      <c r="E52" s="68">
        <v>10000</v>
      </c>
      <c r="F52" s="30"/>
      <c r="G52" s="15"/>
      <c r="H52" s="8"/>
      <c r="I52" s="8"/>
      <c r="J52" s="8"/>
      <c r="K52" s="8"/>
    </row>
    <row r="53" spans="2:11" x14ac:dyDescent="0.25">
      <c r="G53" s="10"/>
    </row>
    <row r="54" spans="2:11" x14ac:dyDescent="0.25">
      <c r="B54" s="3"/>
      <c r="C54" s="3"/>
      <c r="D54" s="3"/>
      <c r="E54" s="3"/>
      <c r="F54" s="3"/>
      <c r="G54" s="3"/>
      <c r="H54" s="3"/>
      <c r="I54" s="3"/>
      <c r="J54" s="3"/>
      <c r="K54" s="3"/>
    </row>
    <row r="55" spans="2:11" ht="15.75" x14ac:dyDescent="0.25">
      <c r="B55" s="602" t="s">
        <v>51</v>
      </c>
      <c r="C55" s="603"/>
      <c r="D55" s="603"/>
      <c r="E55" s="603"/>
      <c r="F55" s="603"/>
      <c r="G55" s="603"/>
      <c r="H55" s="603"/>
      <c r="I55" s="603"/>
      <c r="J55" s="603"/>
      <c r="K55" s="604"/>
    </row>
    <row r="56" spans="2:11" x14ac:dyDescent="0.25">
      <c r="B56" s="605"/>
      <c r="C56" s="606"/>
      <c r="D56" s="606"/>
      <c r="E56" s="606"/>
      <c r="F56" s="606"/>
      <c r="G56" s="606"/>
      <c r="H56" s="606"/>
      <c r="I56" s="606"/>
      <c r="J56" s="606"/>
      <c r="K56" s="607"/>
    </row>
    <row r="57" spans="2:11" x14ac:dyDescent="0.25">
      <c r="B57" s="608"/>
      <c r="C57" s="566"/>
      <c r="D57" s="566"/>
      <c r="E57" s="566"/>
      <c r="F57" s="566"/>
      <c r="G57" s="566"/>
      <c r="H57" s="566"/>
      <c r="I57" s="566"/>
      <c r="J57" s="566"/>
      <c r="K57" s="609"/>
    </row>
    <row r="58" spans="2:11" x14ac:dyDescent="0.25">
      <c r="B58" s="605"/>
      <c r="C58" s="606"/>
      <c r="D58" s="606"/>
      <c r="E58" s="606"/>
      <c r="F58" s="606"/>
      <c r="G58" s="606"/>
      <c r="H58" s="606"/>
      <c r="I58" s="606"/>
      <c r="J58" s="606"/>
      <c r="K58" s="607"/>
    </row>
    <row r="60" spans="2:11" thickBot="1" x14ac:dyDescent="0.35"/>
    <row r="61" spans="2:11" thickBot="1" x14ac:dyDescent="0.35">
      <c r="B61" s="25" t="s">
        <v>36</v>
      </c>
      <c r="C61" s="581" t="s">
        <v>62</v>
      </c>
      <c r="D61" s="581"/>
      <c r="E61" s="581"/>
      <c r="F61" s="581"/>
      <c r="G61" s="581"/>
      <c r="H61" s="581"/>
      <c r="I61" s="581"/>
      <c r="J61" s="581"/>
      <c r="K61" s="22"/>
    </row>
    <row r="62" spans="2:11" x14ac:dyDescent="0.25">
      <c r="B62" s="7"/>
      <c r="C62" s="582" t="s">
        <v>42</v>
      </c>
      <c r="D62" s="65" t="e">
        <f>(E51*E50)+E52</f>
        <v>#REF!</v>
      </c>
      <c r="E62" s="585"/>
      <c r="F62" s="12"/>
      <c r="G62" s="12"/>
      <c r="H62" s="12"/>
      <c r="I62" s="12"/>
      <c r="J62" s="12"/>
      <c r="K62" s="11"/>
    </row>
    <row r="63" spans="2:11" x14ac:dyDescent="0.25">
      <c r="B63" s="7"/>
      <c r="C63" s="583"/>
      <c r="D63" s="66"/>
      <c r="E63" s="586"/>
      <c r="F63" s="40"/>
      <c r="G63" s="40"/>
      <c r="H63" s="40"/>
      <c r="I63" s="40"/>
      <c r="J63" s="40"/>
      <c r="K63" s="41"/>
    </row>
    <row r="64" spans="2:11" ht="15.75" thickBot="1" x14ac:dyDescent="0.3">
      <c r="B64" s="7"/>
      <c r="C64" s="584"/>
      <c r="D64" s="67"/>
      <c r="E64" s="587"/>
      <c r="F64" s="42"/>
      <c r="G64" s="42"/>
      <c r="H64" s="42"/>
      <c r="I64" s="42"/>
      <c r="J64" s="42"/>
      <c r="K64" s="43"/>
    </row>
    <row r="65" spans="2:11" ht="15" customHeight="1" x14ac:dyDescent="0.25">
      <c r="B65" s="7"/>
      <c r="C65" s="582" t="s">
        <v>43</v>
      </c>
      <c r="D65" s="904"/>
      <c r="E65" s="585"/>
      <c r="F65" s="12"/>
      <c r="G65" s="12"/>
      <c r="H65" s="12"/>
      <c r="I65" s="12"/>
      <c r="J65" s="12"/>
      <c r="K65" s="11"/>
    </row>
    <row r="66" spans="2:11" x14ac:dyDescent="0.25">
      <c r="B66" s="7"/>
      <c r="C66" s="583"/>
      <c r="D66" s="905"/>
      <c r="E66" s="586"/>
      <c r="F66" s="40"/>
      <c r="G66" s="40"/>
      <c r="H66" s="40"/>
      <c r="I66" s="40"/>
      <c r="J66" s="40"/>
      <c r="K66" s="41"/>
    </row>
    <row r="67" spans="2:11" ht="15.75" thickBot="1" x14ac:dyDescent="0.3">
      <c r="B67" s="7"/>
      <c r="C67" s="584"/>
      <c r="D67" s="906"/>
      <c r="E67" s="587"/>
      <c r="F67" s="42"/>
      <c r="G67" s="42"/>
      <c r="H67" s="42"/>
      <c r="I67" s="42"/>
      <c r="J67" s="42"/>
      <c r="K67" s="43"/>
    </row>
  </sheetData>
  <mergeCells count="49">
    <mergeCell ref="B58:K58"/>
    <mergeCell ref="C61:J61"/>
    <mergeCell ref="C62:C64"/>
    <mergeCell ref="E62:E64"/>
    <mergeCell ref="C65:C67"/>
    <mergeCell ref="D65:D67"/>
    <mergeCell ref="E65:E67"/>
    <mergeCell ref="B57:K57"/>
    <mergeCell ref="D39:J39"/>
    <mergeCell ref="D40:J40"/>
    <mergeCell ref="C41:D41"/>
    <mergeCell ref="C42:D42"/>
    <mergeCell ref="B47:D47"/>
    <mergeCell ref="B49:D49"/>
    <mergeCell ref="B50:D50"/>
    <mergeCell ref="B51:D51"/>
    <mergeCell ref="B52:D52"/>
    <mergeCell ref="B55:K55"/>
    <mergeCell ref="B56:K56"/>
    <mergeCell ref="D38:J38"/>
    <mergeCell ref="B23:K23"/>
    <mergeCell ref="B24:K24"/>
    <mergeCell ref="B25:K25"/>
    <mergeCell ref="B26:K26"/>
    <mergeCell ref="C29:K29"/>
    <mergeCell ref="C30:D30"/>
    <mergeCell ref="C31:D31"/>
    <mergeCell ref="C32:D32"/>
    <mergeCell ref="C33:D33"/>
    <mergeCell ref="C36:J36"/>
    <mergeCell ref="D37:J37"/>
    <mergeCell ref="B22:K22"/>
    <mergeCell ref="B10:D10"/>
    <mergeCell ref="B11:D11"/>
    <mergeCell ref="B12:D12"/>
    <mergeCell ref="B13:D13"/>
    <mergeCell ref="B14:D14"/>
    <mergeCell ref="B15:D15"/>
    <mergeCell ref="B16:D16"/>
    <mergeCell ref="B17:D17"/>
    <mergeCell ref="B18:D18"/>
    <mergeCell ref="B20:K20"/>
    <mergeCell ref="B21:K21"/>
    <mergeCell ref="B9:D9"/>
    <mergeCell ref="B1:J1"/>
    <mergeCell ref="C3:K3"/>
    <mergeCell ref="C4:K4"/>
    <mergeCell ref="B5:B6"/>
    <mergeCell ref="C5:K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K18"/>
  <sheetViews>
    <sheetView workbookViewId="0">
      <selection activeCell="B3" sqref="B3"/>
    </sheetView>
  </sheetViews>
  <sheetFormatPr defaultColWidth="9.140625" defaultRowHeight="15" x14ac:dyDescent="0.25"/>
  <cols>
    <col min="1" max="1" width="2.140625" style="233" customWidth="1"/>
    <col min="2" max="2" width="21.42578125" style="233" customWidth="1"/>
    <col min="3" max="3" width="21" style="233" customWidth="1"/>
    <col min="4" max="4" width="18.140625" style="233" customWidth="1"/>
    <col min="5" max="5" width="9.140625" style="233"/>
    <col min="6" max="6" width="15" style="233" customWidth="1"/>
    <col min="7" max="7" width="17" style="233" customWidth="1"/>
    <col min="8" max="10" width="9.140625" style="233"/>
    <col min="11" max="11" width="35.42578125" style="233" customWidth="1"/>
    <col min="12" max="16384" width="9.140625" style="233"/>
  </cols>
  <sheetData>
    <row r="1" spans="2:11" ht="26.25" x14ac:dyDescent="0.25">
      <c r="B1" s="706" t="s">
        <v>392</v>
      </c>
      <c r="C1" s="706"/>
      <c r="D1" s="706"/>
      <c r="E1" s="706"/>
      <c r="F1" s="706"/>
      <c r="G1" s="706"/>
      <c r="H1" s="706"/>
      <c r="I1" s="706"/>
      <c r="J1" s="706"/>
    </row>
    <row r="3" spans="2:11" ht="15" customHeight="1" thickBot="1" x14ac:dyDescent="0.3">
      <c r="B3" s="336">
        <v>41613</v>
      </c>
      <c r="C3" s="235" t="s">
        <v>412</v>
      </c>
    </row>
    <row r="4" spans="2:11" ht="18.600000000000001" customHeight="1" x14ac:dyDescent="0.25">
      <c r="B4" s="371" t="s">
        <v>15</v>
      </c>
      <c r="C4" s="724" t="s">
        <v>380</v>
      </c>
      <c r="D4" s="725"/>
      <c r="E4" s="725"/>
      <c r="F4" s="725"/>
      <c r="G4" s="725"/>
      <c r="H4" s="725"/>
      <c r="I4" s="725"/>
      <c r="J4" s="793"/>
      <c r="K4" s="794"/>
    </row>
    <row r="5" spans="2:11" x14ac:dyDescent="0.25">
      <c r="B5" s="372" t="s">
        <v>0</v>
      </c>
      <c r="C5" s="786" t="s">
        <v>148</v>
      </c>
      <c r="D5" s="787"/>
      <c r="E5" s="787"/>
      <c r="F5" s="787"/>
      <c r="G5" s="787"/>
      <c r="H5" s="787"/>
      <c r="I5" s="787"/>
      <c r="J5" s="787"/>
      <c r="K5" s="788"/>
    </row>
    <row r="6" spans="2:11" ht="34.9" customHeight="1" thickBot="1" x14ac:dyDescent="0.3">
      <c r="B6" s="373" t="s">
        <v>13</v>
      </c>
      <c r="C6" s="707" t="s">
        <v>425</v>
      </c>
      <c r="D6" s="708"/>
      <c r="E6" s="708"/>
      <c r="F6" s="708"/>
      <c r="G6" s="708"/>
      <c r="H6" s="708"/>
      <c r="I6" s="708"/>
      <c r="J6" s="708"/>
      <c r="K6" s="709"/>
    </row>
    <row r="7" spans="2:11" ht="18.600000000000001" customHeight="1" x14ac:dyDescent="0.25">
      <c r="B7" s="714" t="s">
        <v>553</v>
      </c>
      <c r="C7" s="240" t="s">
        <v>414</v>
      </c>
      <c r="D7" s="240" t="s">
        <v>413</v>
      </c>
      <c r="E7" s="717" t="s">
        <v>421</v>
      </c>
      <c r="F7" s="718"/>
      <c r="G7" s="718"/>
      <c r="H7" s="718"/>
      <c r="I7" s="718"/>
      <c r="J7" s="718"/>
      <c r="K7" s="719"/>
    </row>
    <row r="8" spans="2:11" ht="27" customHeight="1" x14ac:dyDescent="0.25">
      <c r="B8" s="715"/>
      <c r="C8" s="396" t="s">
        <v>442</v>
      </c>
      <c r="D8" s="370">
        <v>2014</v>
      </c>
      <c r="E8" s="710" t="s">
        <v>456</v>
      </c>
      <c r="F8" s="711"/>
      <c r="G8" s="711"/>
      <c r="H8" s="711"/>
      <c r="I8" s="711"/>
      <c r="J8" s="711"/>
      <c r="K8" s="712"/>
    </row>
    <row r="9" spans="2:11" ht="21.75" customHeight="1" thickBot="1" x14ac:dyDescent="0.3">
      <c r="B9" s="716"/>
      <c r="C9" s="232" t="s">
        <v>442</v>
      </c>
      <c r="D9" s="242">
        <v>2014</v>
      </c>
      <c r="E9" s="599" t="s">
        <v>457</v>
      </c>
      <c r="F9" s="722"/>
      <c r="G9" s="722"/>
      <c r="H9" s="722"/>
      <c r="I9" s="722"/>
      <c r="J9" s="722"/>
      <c r="K9" s="723"/>
    </row>
    <row r="10" spans="2:11" x14ac:dyDescent="0.25">
      <c r="C10" s="33"/>
      <c r="F10" s="33"/>
    </row>
    <row r="11" spans="2:11" x14ac:dyDescent="0.25">
      <c r="C11" s="33"/>
      <c r="E11" s="246"/>
      <c r="F11" s="202"/>
      <c r="G11" s="246"/>
    </row>
    <row r="12" spans="2:11" ht="15.75" thickBot="1" x14ac:dyDescent="0.3">
      <c r="B12" s="713" t="s">
        <v>26</v>
      </c>
      <c r="C12" s="845"/>
      <c r="D12" s="845"/>
      <c r="E12" s="246"/>
      <c r="F12" s="246"/>
      <c r="G12" s="246"/>
      <c r="H12" s="246"/>
      <c r="I12" s="246"/>
      <c r="J12" s="246"/>
      <c r="K12" s="246"/>
    </row>
    <row r="13" spans="2:11" x14ac:dyDescent="0.25">
      <c r="B13" s="896" t="s">
        <v>27</v>
      </c>
      <c r="C13" s="897"/>
      <c r="D13" s="897"/>
      <c r="E13" s="393" t="s">
        <v>28</v>
      </c>
      <c r="F13" s="393" t="s">
        <v>29</v>
      </c>
      <c r="G13" s="393" t="s">
        <v>30</v>
      </c>
      <c r="H13" s="900" t="s">
        <v>395</v>
      </c>
      <c r="I13" s="900"/>
      <c r="J13" s="900"/>
      <c r="K13" s="901"/>
    </row>
    <row r="14" spans="2:11" x14ac:dyDescent="0.25">
      <c r="B14" s="775" t="s">
        <v>381</v>
      </c>
      <c r="C14" s="776"/>
      <c r="D14" s="777"/>
      <c r="E14" s="329">
        <v>443.19517500035039</v>
      </c>
      <c r="F14" s="251" t="s">
        <v>163</v>
      </c>
      <c r="G14" s="256" t="s">
        <v>307</v>
      </c>
      <c r="H14" s="253"/>
      <c r="I14" s="246"/>
      <c r="J14" s="246"/>
      <c r="K14" s="382"/>
    </row>
    <row r="15" spans="2:11" ht="15.75" thickBot="1" x14ac:dyDescent="0.3">
      <c r="B15" s="778" t="s">
        <v>511</v>
      </c>
      <c r="C15" s="779"/>
      <c r="D15" s="780"/>
      <c r="E15" s="397">
        <v>0</v>
      </c>
      <c r="F15" s="353" t="s">
        <v>65</v>
      </c>
      <c r="G15" s="354" t="s">
        <v>382</v>
      </c>
      <c r="H15" s="902" t="s">
        <v>461</v>
      </c>
      <c r="I15" s="902"/>
      <c r="J15" s="902"/>
      <c r="K15" s="903"/>
    </row>
    <row r="16" spans="2:11" ht="15.75" thickBot="1" x14ac:dyDescent="0.3"/>
    <row r="17" spans="2:11" ht="15.75" thickBot="1" x14ac:dyDescent="0.3">
      <c r="B17" s="265" t="s">
        <v>560</v>
      </c>
      <c r="C17" s="799" t="s">
        <v>383</v>
      </c>
      <c r="D17" s="940"/>
      <c r="E17" s="940"/>
      <c r="F17" s="940"/>
      <c r="G17" s="941"/>
      <c r="H17" s="331"/>
      <c r="I17" s="331"/>
      <c r="J17" s="331"/>
      <c r="K17" s="331"/>
    </row>
    <row r="18" spans="2:11" ht="30.75" thickBot="1" x14ac:dyDescent="0.3">
      <c r="B18" s="274"/>
      <c r="C18" s="672" t="s">
        <v>384</v>
      </c>
      <c r="D18" s="673"/>
      <c r="E18" s="299">
        <f>E14*E15</f>
        <v>0</v>
      </c>
      <c r="F18" s="277" t="s">
        <v>72</v>
      </c>
      <c r="G18" s="332"/>
      <c r="H18" s="333"/>
      <c r="I18" s="333"/>
      <c r="J18" s="333"/>
      <c r="K18" s="333"/>
    </row>
  </sheetData>
  <sheetProtection password="DCA2" sheet="1" objects="1" scenarios="1"/>
  <mergeCells count="16">
    <mergeCell ref="C18:D18"/>
    <mergeCell ref="B1:J1"/>
    <mergeCell ref="C5:K5"/>
    <mergeCell ref="C6:K6"/>
    <mergeCell ref="B12:D12"/>
    <mergeCell ref="B7:B9"/>
    <mergeCell ref="E7:K7"/>
    <mergeCell ref="C4:K4"/>
    <mergeCell ref="E8:K8"/>
    <mergeCell ref="E9:K9"/>
    <mergeCell ref="C17:G17"/>
    <mergeCell ref="B13:D13"/>
    <mergeCell ref="B14:D14"/>
    <mergeCell ref="B15:D15"/>
    <mergeCell ref="H13:K13"/>
    <mergeCell ref="H15:K15"/>
  </mergeCells>
  <dataValidations count="1">
    <dataValidation type="list" allowBlank="1" showInputMessage="1" showErrorMessage="1" sqref="C8:C9">
      <formula1>ImpOptions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6"/>
  <sheetViews>
    <sheetView tabSelected="1" zoomScaleNormal="100" workbookViewId="0">
      <selection activeCell="E16" sqref="E16"/>
    </sheetView>
  </sheetViews>
  <sheetFormatPr defaultRowHeight="15" x14ac:dyDescent="0.25"/>
  <cols>
    <col min="1" max="1" width="4.5703125" customWidth="1"/>
    <col min="2" max="2" width="13.42578125" customWidth="1"/>
    <col min="3" max="3" width="93.5703125" style="91" customWidth="1"/>
    <col min="4" max="4" width="13" customWidth="1"/>
  </cols>
  <sheetData>
    <row r="1" spans="2:9" ht="26.25" x14ac:dyDescent="0.25">
      <c r="B1" s="207" t="s">
        <v>480</v>
      </c>
      <c r="C1" s="207"/>
      <c r="D1" s="207"/>
      <c r="E1" s="207"/>
      <c r="F1" s="207"/>
      <c r="G1" s="207"/>
      <c r="H1" s="207"/>
      <c r="I1" s="207"/>
    </row>
    <row r="2" spans="2:9" ht="7.9" customHeight="1" x14ac:dyDescent="0.25"/>
    <row r="3" spans="2:9" ht="15.75" x14ac:dyDescent="0.25">
      <c r="B3" s="174" t="s">
        <v>410</v>
      </c>
    </row>
    <row r="4" spans="2:9" ht="10.15" customHeight="1" x14ac:dyDescent="0.25"/>
    <row r="5" spans="2:9" x14ac:dyDescent="0.25">
      <c r="B5" s="157" t="s">
        <v>402</v>
      </c>
      <c r="C5" s="168" t="s">
        <v>403</v>
      </c>
      <c r="D5" s="62"/>
      <c r="F5" s="62"/>
      <c r="G5" s="62"/>
    </row>
    <row r="6" spans="2:9" ht="7.15" customHeight="1" x14ac:dyDescent="0.25">
      <c r="B6" s="119"/>
      <c r="C6" s="119"/>
      <c r="D6" s="62"/>
      <c r="F6" s="62"/>
      <c r="G6" s="62"/>
    </row>
    <row r="7" spans="2:9" x14ac:dyDescent="0.25">
      <c r="B7" s="169"/>
      <c r="C7" s="168" t="s">
        <v>401</v>
      </c>
      <c r="D7" s="62"/>
      <c r="F7" s="62"/>
      <c r="G7" s="62"/>
    </row>
    <row r="8" spans="2:9" ht="8.4499999999999993" customHeight="1" x14ac:dyDescent="0.25">
      <c r="B8" s="91"/>
      <c r="C8"/>
    </row>
    <row r="9" spans="2:9" x14ac:dyDescent="0.25">
      <c r="B9" s="153"/>
      <c r="C9" s="168" t="s">
        <v>419</v>
      </c>
    </row>
    <row r="11" spans="2:9" ht="15.75" x14ac:dyDescent="0.25">
      <c r="B11" s="174" t="s">
        <v>417</v>
      </c>
    </row>
    <row r="12" spans="2:9" x14ac:dyDescent="0.25">
      <c r="B12" s="168" t="s">
        <v>416</v>
      </c>
    </row>
    <row r="13" spans="2:9" ht="96.75" customHeight="1" x14ac:dyDescent="0.25">
      <c r="C13" s="173" t="s">
        <v>479</v>
      </c>
    </row>
    <row r="14" spans="2:9" ht="9" customHeight="1" x14ac:dyDescent="0.25">
      <c r="C14" s="173"/>
    </row>
    <row r="15" spans="2:9" ht="14.45" customHeight="1" x14ac:dyDescent="0.25">
      <c r="B15" s="168" t="s">
        <v>418</v>
      </c>
      <c r="C15" s="173"/>
    </row>
    <row r="16" spans="2:9" ht="71.25" customHeight="1" x14ac:dyDescent="0.25">
      <c r="C16" s="173" t="s">
        <v>420</v>
      </c>
    </row>
    <row r="17" spans="2:4" ht="10.5" customHeight="1" x14ac:dyDescent="0.25">
      <c r="C17" s="173"/>
    </row>
    <row r="18" spans="2:4" ht="15" customHeight="1" x14ac:dyDescent="0.3">
      <c r="B18" s="168" t="s">
        <v>475</v>
      </c>
      <c r="C18" s="173"/>
    </row>
    <row r="19" spans="2:4" ht="51.75" customHeight="1" x14ac:dyDescent="0.25">
      <c r="B19" s="168"/>
      <c r="C19" s="173" t="s">
        <v>622</v>
      </c>
    </row>
    <row r="20" spans="2:4" ht="10.9" customHeight="1" x14ac:dyDescent="0.3"/>
    <row r="21" spans="2:4" ht="15.6" x14ac:dyDescent="0.3">
      <c r="B21" s="174" t="s">
        <v>432</v>
      </c>
    </row>
    <row r="22" spans="2:4" ht="18.600000000000001" customHeight="1" x14ac:dyDescent="0.3">
      <c r="B22" s="526" t="s">
        <v>404</v>
      </c>
      <c r="C22" s="527" t="s">
        <v>142</v>
      </c>
    </row>
    <row r="23" spans="2:4" ht="14.45" x14ac:dyDescent="0.3">
      <c r="B23" s="516" t="s">
        <v>149</v>
      </c>
      <c r="C23" s="517" t="s">
        <v>211</v>
      </c>
    </row>
    <row r="24" spans="2:4" ht="37.9" customHeight="1" x14ac:dyDescent="0.3">
      <c r="B24" s="518"/>
      <c r="C24" s="519" t="s">
        <v>494</v>
      </c>
      <c r="D24" s="201"/>
    </row>
    <row r="25" spans="2:4" ht="14.45" x14ac:dyDescent="0.3">
      <c r="B25" s="520" t="s">
        <v>405</v>
      </c>
      <c r="C25" s="521" t="s">
        <v>172</v>
      </c>
    </row>
    <row r="26" spans="2:4" ht="57.6" x14ac:dyDescent="0.3">
      <c r="B26" s="518"/>
      <c r="C26" s="519" t="s">
        <v>495</v>
      </c>
    </row>
    <row r="27" spans="2:4" ht="14.45" x14ac:dyDescent="0.3">
      <c r="B27" s="520" t="s">
        <v>150</v>
      </c>
      <c r="C27" s="521" t="s">
        <v>406</v>
      </c>
    </row>
    <row r="28" spans="2:4" ht="51" customHeight="1" x14ac:dyDescent="0.25">
      <c r="B28" s="518"/>
      <c r="C28" s="519" t="s">
        <v>493</v>
      </c>
    </row>
    <row r="29" spans="2:4" x14ac:dyDescent="0.25">
      <c r="B29" s="522"/>
      <c r="C29" s="521" t="s">
        <v>276</v>
      </c>
    </row>
    <row r="30" spans="2:4" ht="50.45" customHeight="1" x14ac:dyDescent="0.25">
      <c r="B30" s="518"/>
      <c r="C30" s="519" t="s">
        <v>477</v>
      </c>
    </row>
    <row r="31" spans="2:4" x14ac:dyDescent="0.25">
      <c r="B31" s="520" t="s">
        <v>151</v>
      </c>
      <c r="C31" s="521" t="s">
        <v>459</v>
      </c>
    </row>
    <row r="32" spans="2:4" ht="51" customHeight="1" x14ac:dyDescent="0.25">
      <c r="B32" s="518"/>
      <c r="C32" s="519" t="s">
        <v>476</v>
      </c>
    </row>
    <row r="33" spans="2:3" x14ac:dyDescent="0.25">
      <c r="B33" s="520" t="s">
        <v>157</v>
      </c>
      <c r="C33" s="521" t="s">
        <v>409</v>
      </c>
    </row>
    <row r="34" spans="2:3" ht="28.9" customHeight="1" x14ac:dyDescent="0.25">
      <c r="B34" s="518"/>
      <c r="C34" s="519" t="s">
        <v>542</v>
      </c>
    </row>
    <row r="35" spans="2:3" x14ac:dyDescent="0.25">
      <c r="B35" s="522"/>
      <c r="C35" s="521" t="s">
        <v>408</v>
      </c>
    </row>
    <row r="36" spans="2:3" ht="27.6" customHeight="1" x14ac:dyDescent="0.25">
      <c r="B36" s="518"/>
      <c r="C36" s="519" t="s">
        <v>543</v>
      </c>
    </row>
    <row r="37" spans="2:3" x14ac:dyDescent="0.25">
      <c r="B37" s="522"/>
      <c r="C37" s="521" t="s">
        <v>407</v>
      </c>
    </row>
    <row r="38" spans="2:3" ht="22.15" customHeight="1" x14ac:dyDescent="0.25">
      <c r="B38" s="518"/>
      <c r="C38" s="519" t="s">
        <v>544</v>
      </c>
    </row>
    <row r="39" spans="2:3" x14ac:dyDescent="0.25">
      <c r="B39" s="520" t="s">
        <v>610</v>
      </c>
      <c r="C39" s="521" t="s">
        <v>583</v>
      </c>
    </row>
    <row r="40" spans="2:3" ht="22.15" customHeight="1" x14ac:dyDescent="0.25">
      <c r="B40" s="518"/>
      <c r="C40" s="519" t="s">
        <v>621</v>
      </c>
    </row>
    <row r="41" spans="2:3" x14ac:dyDescent="0.25">
      <c r="B41" s="520" t="s">
        <v>158</v>
      </c>
      <c r="C41" s="521" t="s">
        <v>516</v>
      </c>
    </row>
    <row r="42" spans="2:3" ht="78.599999999999994" customHeight="1" x14ac:dyDescent="0.25">
      <c r="B42" s="522"/>
      <c r="C42" s="523" t="s">
        <v>548</v>
      </c>
    </row>
    <row r="43" spans="2:3" x14ac:dyDescent="0.25">
      <c r="B43" s="522"/>
      <c r="C43" s="521" t="s">
        <v>517</v>
      </c>
    </row>
    <row r="44" spans="2:3" ht="33.75" customHeight="1" x14ac:dyDescent="0.25">
      <c r="B44" s="518"/>
      <c r="C44" s="523" t="s">
        <v>519</v>
      </c>
    </row>
    <row r="45" spans="2:3" x14ac:dyDescent="0.25">
      <c r="B45" s="520" t="s">
        <v>159</v>
      </c>
      <c r="C45" s="521" t="s">
        <v>143</v>
      </c>
    </row>
    <row r="46" spans="2:3" ht="31.9" customHeight="1" x14ac:dyDescent="0.25">
      <c r="B46" s="518"/>
      <c r="C46" s="523" t="s">
        <v>478</v>
      </c>
    </row>
    <row r="47" spans="2:3" s="91" customFormat="1" x14ac:dyDescent="0.25">
      <c r="B47" s="522"/>
      <c r="C47" s="521" t="s">
        <v>464</v>
      </c>
    </row>
    <row r="48" spans="2:3" s="91" customFormat="1" ht="23.45" customHeight="1" x14ac:dyDescent="0.25">
      <c r="B48" s="518"/>
      <c r="C48" s="523" t="s">
        <v>545</v>
      </c>
    </row>
    <row r="49" spans="2:3" x14ac:dyDescent="0.25">
      <c r="B49" s="520" t="s">
        <v>160</v>
      </c>
      <c r="C49" s="521" t="s">
        <v>465</v>
      </c>
    </row>
    <row r="50" spans="2:3" ht="32.450000000000003" customHeight="1" x14ac:dyDescent="0.25">
      <c r="B50" s="518"/>
      <c r="C50" s="523" t="s">
        <v>490</v>
      </c>
    </row>
    <row r="51" spans="2:3" x14ac:dyDescent="0.25">
      <c r="B51" s="520" t="s">
        <v>161</v>
      </c>
      <c r="C51" s="521" t="s">
        <v>144</v>
      </c>
    </row>
    <row r="52" spans="2:3" x14ac:dyDescent="0.25">
      <c r="B52" s="524"/>
      <c r="C52" s="525" t="s">
        <v>491</v>
      </c>
    </row>
    <row r="53" spans="2:3" x14ac:dyDescent="0.25">
      <c r="B53" s="110"/>
    </row>
    <row r="54" spans="2:3" x14ac:dyDescent="0.25">
      <c r="B54" s="110"/>
    </row>
    <row r="55" spans="2:3" x14ac:dyDescent="0.25">
      <c r="B55" s="91"/>
    </row>
    <row r="56" spans="2:3" x14ac:dyDescent="0.25">
      <c r="B56" s="110"/>
    </row>
  </sheetData>
  <sheetProtection password="DCA2" sheet="1" objects="1" scenarios="1"/>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N32"/>
  <sheetViews>
    <sheetView zoomScaleNormal="100" workbookViewId="0">
      <selection activeCell="B1" sqref="B1"/>
    </sheetView>
  </sheetViews>
  <sheetFormatPr defaultRowHeight="15" x14ac:dyDescent="0.25"/>
  <cols>
    <col min="1" max="1" width="4.5703125" customWidth="1"/>
    <col min="2" max="2" width="16.42578125" customWidth="1"/>
    <col min="3" max="3" width="16.7109375" customWidth="1"/>
    <col min="4" max="4" width="14" customWidth="1"/>
    <col min="5" max="5" width="22.42578125" customWidth="1"/>
    <col min="6" max="6" width="10.28515625" customWidth="1"/>
    <col min="7" max="7" width="16.42578125" customWidth="1"/>
    <col min="9" max="9" width="11.140625" customWidth="1"/>
    <col min="10" max="10" width="10.28515625" customWidth="1"/>
    <col min="11" max="11" width="12.42578125" customWidth="1"/>
    <col min="12" max="12" width="60.28515625" customWidth="1"/>
  </cols>
  <sheetData>
    <row r="1" spans="2:14" x14ac:dyDescent="0.25">
      <c r="B1" s="942">
        <v>41613</v>
      </c>
      <c r="C1" s="175" t="s">
        <v>411</v>
      </c>
      <c r="D1" s="175"/>
    </row>
    <row r="3" spans="2:14" ht="19.5" thickBot="1" x14ac:dyDescent="0.35">
      <c r="B3" s="125" t="s">
        <v>434</v>
      </c>
      <c r="C3" s="125"/>
    </row>
    <row r="4" spans="2:14" ht="58.5" thickBot="1" x14ac:dyDescent="0.3">
      <c r="B4" s="210" t="s">
        <v>145</v>
      </c>
      <c r="C4" s="211" t="s">
        <v>422</v>
      </c>
      <c r="D4" s="537" t="s">
        <v>15</v>
      </c>
      <c r="E4" s="537"/>
      <c r="F4" s="537"/>
      <c r="G4" s="212" t="s">
        <v>427</v>
      </c>
      <c r="H4" s="122" t="s">
        <v>129</v>
      </c>
      <c r="I4" s="123" t="s">
        <v>168</v>
      </c>
      <c r="J4" s="123" t="s">
        <v>169</v>
      </c>
      <c r="K4" s="213" t="s">
        <v>428</v>
      </c>
      <c r="L4" s="124" t="s">
        <v>173</v>
      </c>
      <c r="M4" s="120"/>
      <c r="N4" s="120"/>
    </row>
    <row r="5" spans="2:14" x14ac:dyDescent="0.25">
      <c r="B5" s="114" t="s">
        <v>146</v>
      </c>
      <c r="C5" s="180"/>
      <c r="D5" s="115"/>
      <c r="E5" s="115"/>
      <c r="F5" s="115"/>
      <c r="G5" s="116"/>
      <c r="H5" s="117"/>
      <c r="I5" s="115"/>
      <c r="J5" s="117"/>
      <c r="K5" s="115"/>
      <c r="L5" s="121"/>
    </row>
    <row r="6" spans="2:14" ht="39" customHeight="1" x14ac:dyDescent="0.3">
      <c r="B6" s="177" t="s">
        <v>18</v>
      </c>
      <c r="C6" s="209" t="str">
        <f>CHOOSE(IF(SUM(CODE('E 1.1'!C$8),CODE('E 1.1'!C$9))/2=CODE("C"),3,IF(SUM(CODE('E 1.1'!C$8),CODE('E 1.1'!C$9))/2=CODE("N"),1,2)),'Common Factors'!A$83,'Common Factors'!A$84,'Common Factors'!A$85)</f>
        <v>Not Started</v>
      </c>
      <c r="D6" s="538" t="s">
        <v>122</v>
      </c>
      <c r="E6" s="539"/>
      <c r="F6" s="540"/>
      <c r="G6" s="166">
        <v>446</v>
      </c>
      <c r="H6" s="503">
        <f t="shared" ref="H6:H11" si="0">G6/1408</f>
        <v>0.31676136363636365</v>
      </c>
      <c r="I6" s="504">
        <f t="shared" ref="I6:I11" si="1">G6/$G$21</f>
        <v>0.13697788697788699</v>
      </c>
      <c r="J6" s="504">
        <f t="shared" ref="J6:J11" si="2">G6/$I$30</f>
        <v>0.13389372560792553</v>
      </c>
      <c r="K6" s="164">
        <f>'E 1.1'!E46</f>
        <v>0</v>
      </c>
      <c r="L6" s="170" t="s">
        <v>152</v>
      </c>
      <c r="M6" s="113"/>
      <c r="N6" s="113"/>
    </row>
    <row r="7" spans="2:14" ht="30.75" customHeight="1" x14ac:dyDescent="0.3">
      <c r="B7" s="176" t="s">
        <v>164</v>
      </c>
      <c r="C7" s="209" t="str">
        <f>CHOOSE(IF(SUM(CODE('E 1.2'!C$8),CODE('E 1.2'!C$9),CODE('E 1.2'!C$10),CODE('E 1.2'!C$12))/4=CODE("C"),3,IF(SUM(CODE('E 1.2'!C$8),CODE('E 1.2'!C$9),CODE('E 1.2'!C$10),CODE('E 1.2'!C$12))/4=CODE("N"),1,2)),'Common Factors'!A$83,'Common Factors'!A$84,'Common Factors'!A$85)</f>
        <v>In Progress</v>
      </c>
      <c r="D7" s="541" t="s">
        <v>165</v>
      </c>
      <c r="E7" s="542" t="s">
        <v>166</v>
      </c>
      <c r="F7" s="543">
        <v>3.2222222222222219</v>
      </c>
      <c r="G7" s="166">
        <v>128</v>
      </c>
      <c r="H7" s="503">
        <f t="shared" si="0"/>
        <v>9.0909090909090912E-2</v>
      </c>
      <c r="I7" s="504">
        <f t="shared" si="1"/>
        <v>3.9312039312039311E-2</v>
      </c>
      <c r="J7" s="504">
        <f t="shared" si="2"/>
        <v>3.8426898829180427E-2</v>
      </c>
      <c r="K7" s="164">
        <f>'E 1.2'!E42</f>
        <v>0</v>
      </c>
      <c r="L7" s="170" t="s">
        <v>167</v>
      </c>
      <c r="M7" s="113"/>
      <c r="N7" s="113"/>
    </row>
    <row r="8" spans="2:14" ht="41.25" customHeight="1" x14ac:dyDescent="0.3">
      <c r="B8" s="177" t="s">
        <v>19</v>
      </c>
      <c r="C8" s="209" t="str">
        <f>CHOOSE(IF(SUM(CODE('E 1.3'!C$9),CODE('E 1.3'!C$10),CODE('E 1.3'!C$8))/3=CODE("C"),3,IF(SUM(CODE('E 1.3'!C$9),CODE('E 1.3'!C$10),CODE('E 1.3'!C$8))/3=CODE("N"),1,2)),'Common Factors'!A$83,'Common Factors'!A$84,'Common Factors'!A$85)</f>
        <v>In Progress</v>
      </c>
      <c r="D8" s="538" t="s">
        <v>119</v>
      </c>
      <c r="E8" s="539" t="s">
        <v>17</v>
      </c>
      <c r="F8" s="540">
        <v>3.4444444444444442</v>
      </c>
      <c r="G8" s="166">
        <v>543</v>
      </c>
      <c r="H8" s="503">
        <f t="shared" si="0"/>
        <v>0.38565340909090912</v>
      </c>
      <c r="I8" s="504">
        <f t="shared" si="1"/>
        <v>0.16676904176904178</v>
      </c>
      <c r="J8" s="504">
        <f t="shared" si="2"/>
        <v>0.16301410987691384</v>
      </c>
      <c r="K8" s="164">
        <f>'E 1.3'!E42</f>
        <v>0</v>
      </c>
      <c r="L8" s="170" t="s">
        <v>153</v>
      </c>
      <c r="M8" s="113"/>
      <c r="N8" s="113"/>
    </row>
    <row r="9" spans="2:14" ht="29.25" customHeight="1" x14ac:dyDescent="0.3">
      <c r="B9" s="177" t="s">
        <v>100</v>
      </c>
      <c r="C9" s="209" t="str">
        <f>CHOOSE(IF(SUM(CODE('E 1.5'!C$8))/1=CODE("C"),3,IF(SUM(CODE('E 1.5'!C$8))/1=CODE("N"),1,2)),'Common Factors'!A$83,'Common Factors'!A$84,'Common Factors'!A$85)</f>
        <v>Not Started</v>
      </c>
      <c r="D9" s="538" t="s">
        <v>102</v>
      </c>
      <c r="E9" s="539"/>
      <c r="F9" s="540"/>
      <c r="G9" s="166">
        <v>100</v>
      </c>
      <c r="H9" s="503">
        <f t="shared" si="0"/>
        <v>7.1022727272727279E-2</v>
      </c>
      <c r="I9" s="504">
        <f t="shared" si="1"/>
        <v>3.0712530712530713E-2</v>
      </c>
      <c r="J9" s="504">
        <f t="shared" si="2"/>
        <v>3.0021014710297209E-2</v>
      </c>
      <c r="K9" s="164">
        <f>'E 1.5'!E34</f>
        <v>0</v>
      </c>
      <c r="L9" s="170" t="s">
        <v>154</v>
      </c>
      <c r="M9" s="113"/>
      <c r="N9" s="113"/>
    </row>
    <row r="10" spans="2:14" ht="45" x14ac:dyDescent="0.25">
      <c r="B10" s="177" t="s">
        <v>101</v>
      </c>
      <c r="C10" s="209" t="str">
        <f>CHOOSE(IF(SUM(CODE('E 1.6'!C$8),CODE('E 1.6'!C$9),CODE('E 1.6'!C$10),CODE('E 1.6'!C$11))/4=CODE("C"),3,IF(SUM(CODE('E 1.6'!C$8),CODE('E 1.6'!C$9),CODE('E 1.6'!C$10),CODE('E 1.6'!C$11))/4=CODE("N"),1,2)),'Common Factors'!A$83,'Common Factors'!A$84,'Common Factors'!A$85)</f>
        <v>In Progress</v>
      </c>
      <c r="D10" s="531" t="s">
        <v>105</v>
      </c>
      <c r="E10" s="532" t="s">
        <v>16</v>
      </c>
      <c r="F10" s="533">
        <v>3.1444444444444439</v>
      </c>
      <c r="G10" s="497">
        <v>242</v>
      </c>
      <c r="H10" s="503">
        <f t="shared" si="0"/>
        <v>0.171875</v>
      </c>
      <c r="I10" s="504">
        <f t="shared" si="1"/>
        <v>7.4324324324324328E-2</v>
      </c>
      <c r="J10" s="504">
        <f t="shared" si="2"/>
        <v>7.2650855598919248E-2</v>
      </c>
      <c r="K10" s="164">
        <f>'E 1.6'!E49</f>
        <v>0</v>
      </c>
      <c r="L10" s="170" t="s">
        <v>433</v>
      </c>
      <c r="M10" s="113"/>
      <c r="N10" s="113"/>
    </row>
    <row r="11" spans="2:14" ht="27.75" customHeight="1" x14ac:dyDescent="0.3">
      <c r="B11" s="469" t="s">
        <v>582</v>
      </c>
      <c r="C11" s="209" t="str">
        <f>CHOOSE(IF(SUM(CODE('E 2.1'!C9),CODE('E 2.1'!C10),CODE('E 2.1'!C8))/3=CODE("C"),3,IF(SUM(CODE('E 2.1'!C9),CODE('E 2.1'!C10),CODE('E 2.1'!C8))/3=CODE("N"),1,2)),'Common Factors'!A$83,'Common Factors'!A$84,'Common Factors'!A$85)</f>
        <v>Not Started</v>
      </c>
      <c r="D11" s="538" t="s">
        <v>583</v>
      </c>
      <c r="E11" s="539" t="s">
        <v>584</v>
      </c>
      <c r="F11" s="540">
        <v>2.8444444444444441</v>
      </c>
      <c r="G11" s="497">
        <v>307</v>
      </c>
      <c r="H11" s="505">
        <f t="shared" si="0"/>
        <v>0.21803977272727273</v>
      </c>
      <c r="I11" s="503">
        <f t="shared" si="1"/>
        <v>9.4287469287469283E-2</v>
      </c>
      <c r="J11" s="505">
        <f t="shared" si="2"/>
        <v>9.2164515160612429E-2</v>
      </c>
      <c r="K11" s="164">
        <f>'E 2.1'!E59</f>
        <v>0</v>
      </c>
      <c r="L11" s="470" t="s">
        <v>609</v>
      </c>
      <c r="M11" s="113"/>
      <c r="N11" s="113"/>
    </row>
    <row r="12" spans="2:14" x14ac:dyDescent="0.25">
      <c r="B12" s="96" t="s">
        <v>134</v>
      </c>
      <c r="C12" s="94"/>
      <c r="D12" s="94"/>
      <c r="E12" s="94"/>
      <c r="F12" s="94"/>
      <c r="G12" s="94"/>
      <c r="H12" s="98"/>
      <c r="I12" s="92"/>
      <c r="J12" s="98"/>
      <c r="K12" s="94"/>
      <c r="L12" s="118"/>
      <c r="M12" s="113"/>
      <c r="N12" s="113"/>
    </row>
    <row r="13" spans="2:14" ht="52.5" customHeight="1" x14ac:dyDescent="0.25">
      <c r="B13" s="177" t="s">
        <v>130</v>
      </c>
      <c r="C13" s="209" t="str">
        <f>CHOOSE(IF(SUM(CODE(T1.1!C$8),CODE(T1.1!C$9))/2=CODE("C"),3,IF(SUM(CODE(T1.1!C$8),CODE(T1.1!C$9))/2=CODE("N"),1,2)),'Common Factors'!A$83,'Common Factors'!A$84,'Common Factors'!A$85)</f>
        <v>Not Started</v>
      </c>
      <c r="D13" s="528" t="s">
        <v>131</v>
      </c>
      <c r="E13" s="529"/>
      <c r="F13" s="530"/>
      <c r="G13" s="167">
        <v>347</v>
      </c>
      <c r="H13" s="503">
        <f>G13/1333</f>
        <v>0.2603150787696924</v>
      </c>
      <c r="I13" s="504">
        <f>G13/$G$21</f>
        <v>0.10657248157248157</v>
      </c>
      <c r="J13" s="504">
        <f>G13/$I$30</f>
        <v>0.10417292104473132</v>
      </c>
      <c r="K13" s="165">
        <f>T1.1!E50</f>
        <v>0</v>
      </c>
      <c r="L13" s="219" t="s">
        <v>515</v>
      </c>
      <c r="M13" s="113"/>
      <c r="N13" s="113"/>
    </row>
    <row r="14" spans="2:14" ht="14.45" x14ac:dyDescent="0.3">
      <c r="B14" s="96" t="s">
        <v>135</v>
      </c>
      <c r="C14" s="94"/>
      <c r="D14" s="94"/>
      <c r="E14" s="94"/>
      <c r="F14" s="94"/>
      <c r="G14" s="94"/>
      <c r="H14" s="92"/>
      <c r="I14" s="92"/>
      <c r="J14" s="92"/>
      <c r="K14" s="94"/>
      <c r="L14" s="118"/>
      <c r="M14" s="113"/>
      <c r="N14" s="113"/>
    </row>
    <row r="15" spans="2:14" ht="28.5" customHeight="1" x14ac:dyDescent="0.3">
      <c r="B15" s="178" t="s">
        <v>132</v>
      </c>
      <c r="C15" s="209" t="str">
        <f>CHOOSE(IF(SUM(CODE(LU.1.1!C$9),CODE(LU.1.1!C$10))/2=CODE("C"),3,IF(SUM(CODE(LU.1.1!C$9),CODE(LU.1.1!C$10))/2=CODE("N"),1,2)),'Common Factors'!A$83,'Common Factors'!A$84,'Common Factors'!A$85)</f>
        <v>Not Started</v>
      </c>
      <c r="D15" s="531" t="s">
        <v>133</v>
      </c>
      <c r="E15" s="532"/>
      <c r="F15" s="533"/>
      <c r="G15" s="167">
        <v>759.74851664436085</v>
      </c>
      <c r="H15" s="503">
        <f>G15/1333</f>
        <v>0.56995387595225866</v>
      </c>
      <c r="I15" s="504">
        <f>G15/$G$21</f>
        <v>0.23333799651239584</v>
      </c>
      <c r="J15" s="504">
        <f>G15/$I$30</f>
        <v>0.22808421394306841</v>
      </c>
      <c r="K15" s="165">
        <f>LU.1.1!E35+LU.1.1!E37</f>
        <v>0</v>
      </c>
      <c r="L15" s="170" t="s">
        <v>473</v>
      </c>
      <c r="M15" s="113"/>
      <c r="N15" s="113"/>
    </row>
    <row r="16" spans="2:14" ht="14.45" x14ac:dyDescent="0.3">
      <c r="B16" s="85" t="s">
        <v>136</v>
      </c>
      <c r="C16" s="85"/>
      <c r="D16" s="85"/>
      <c r="E16" s="85"/>
      <c r="F16" s="95"/>
      <c r="G16" s="92"/>
      <c r="H16" s="98"/>
      <c r="I16" s="92"/>
      <c r="J16" s="92"/>
      <c r="K16" s="92"/>
      <c r="L16" s="118"/>
      <c r="M16" s="113"/>
      <c r="N16" s="113"/>
    </row>
    <row r="17" spans="2:14" ht="48" customHeight="1" x14ac:dyDescent="0.3">
      <c r="B17" s="178" t="s">
        <v>137</v>
      </c>
      <c r="C17" s="209" t="str">
        <f>CHOOSE(IF(SUM(CODE(SW.1.1!C$8),CODE(SW.1.1!C$9),CODE(SW.1.1!C$10),CODE(SW.1.1!C$11))/4=CODE("C"),3,IF(SUM(CODE(SW.1.1!C$8),CODE(SW.1.1!C$9),CODE(SW.1.1!C$10),CODE(SW.1.1!C$11))/4=CODE("N"),1,2)),'Common Factors'!A$83,'Common Factors'!A$84,'Common Factors'!A$85)</f>
        <v>In Progress</v>
      </c>
      <c r="D17" s="531" t="s">
        <v>138</v>
      </c>
      <c r="E17" s="532"/>
      <c r="F17" s="533"/>
      <c r="G17" s="167">
        <v>86</v>
      </c>
      <c r="H17" s="506">
        <f>G17/96</f>
        <v>0.89583333333333337</v>
      </c>
      <c r="I17" s="504">
        <f>G17/$G$21</f>
        <v>2.6412776412776413E-2</v>
      </c>
      <c r="J17" s="504">
        <f>G17/$I$30</f>
        <v>2.58180726508556E-2</v>
      </c>
      <c r="K17" s="165">
        <f>SW.1.1!E24</f>
        <v>0</v>
      </c>
      <c r="L17" s="170" t="s">
        <v>155</v>
      </c>
      <c r="M17" s="113"/>
      <c r="N17" s="113"/>
    </row>
    <row r="18" spans="2:14" ht="14.45" x14ac:dyDescent="0.3">
      <c r="B18" s="85" t="s">
        <v>139</v>
      </c>
      <c r="C18" s="85"/>
      <c r="D18" s="85"/>
      <c r="E18" s="92"/>
      <c r="F18" s="95"/>
      <c r="G18" s="92"/>
      <c r="H18" s="92"/>
      <c r="I18" s="92"/>
      <c r="J18" s="92"/>
      <c r="K18" s="92"/>
      <c r="L18" s="118"/>
      <c r="M18" s="113"/>
      <c r="N18" s="113"/>
    </row>
    <row r="19" spans="2:14" ht="18" customHeight="1" thickBot="1" x14ac:dyDescent="0.35">
      <c r="B19" s="179" t="s">
        <v>140</v>
      </c>
      <c r="C19" s="209" t="str">
        <f>CHOOSE(IF(SUM(CODE(W.1.1!C$8),CODE(W.1.1!C$9))/2=CODE("C"),3,IF(SUM(CODE(W.1.1!C$8),CODE(W.1.1!C$9))/2=CODE("N"),1,2)),'Common Factors'!A$83,'Common Factors'!A$84,'Common Factors'!A$85)</f>
        <v>Not Started</v>
      </c>
      <c r="D19" s="534" t="s">
        <v>141</v>
      </c>
      <c r="E19" s="535"/>
      <c r="F19" s="536"/>
      <c r="G19" s="502">
        <f>0.2*443</f>
        <v>88.600000000000009</v>
      </c>
      <c r="H19" s="507">
        <v>1</v>
      </c>
      <c r="I19" s="508">
        <f>G19/$G$21</f>
        <v>2.7211302211302215E-2</v>
      </c>
      <c r="J19" s="508">
        <f>G19/$I$30</f>
        <v>2.6598619033323327E-2</v>
      </c>
      <c r="K19" s="515">
        <f>W.1.1!E18</f>
        <v>0</v>
      </c>
      <c r="L19" s="171" t="s">
        <v>156</v>
      </c>
      <c r="M19" s="113"/>
      <c r="N19" s="113"/>
    </row>
    <row r="20" spans="2:14" ht="16.149999999999999" customHeight="1" x14ac:dyDescent="0.3">
      <c r="C20" s="9"/>
      <c r="D20" s="91"/>
      <c r="E20" s="91"/>
      <c r="F20" s="216" t="s">
        <v>426</v>
      </c>
      <c r="G20" s="513">
        <f>SUM(G6:G19)</f>
        <v>3047.3485166443606</v>
      </c>
      <c r="I20" s="509">
        <f>SUM(I6:I19)</f>
        <v>0.9359178490922484</v>
      </c>
      <c r="J20" s="509">
        <f>SUM(J6:J19)</f>
        <v>0.91484494645582737</v>
      </c>
      <c r="K20" s="514">
        <f>SUM(K6:K19)</f>
        <v>0</v>
      </c>
    </row>
    <row r="21" spans="2:14" ht="17.45" customHeight="1" x14ac:dyDescent="0.25">
      <c r="F21" s="215" t="s">
        <v>128</v>
      </c>
      <c r="G21" s="511">
        <v>3256</v>
      </c>
      <c r="I21" s="105"/>
      <c r="J21" s="215" t="s">
        <v>618</v>
      </c>
      <c r="K21" s="512">
        <f>K20/G21</f>
        <v>0</v>
      </c>
      <c r="L21" s="510" t="s">
        <v>617</v>
      </c>
    </row>
    <row r="22" spans="2:14" x14ac:dyDescent="0.25">
      <c r="F22" s="101"/>
      <c r="G22" s="109"/>
      <c r="I22" s="105"/>
      <c r="J22" s="105"/>
      <c r="K22" s="184"/>
    </row>
    <row r="23" spans="2:14" x14ac:dyDescent="0.25">
      <c r="F23" s="101"/>
      <c r="G23" s="109"/>
      <c r="I23" s="105"/>
      <c r="J23" s="105"/>
    </row>
    <row r="24" spans="2:14" ht="19.5" thickBot="1" x14ac:dyDescent="0.35">
      <c r="D24" s="185" t="s">
        <v>619</v>
      </c>
      <c r="E24" s="8"/>
      <c r="F24" s="8"/>
      <c r="H24" s="185" t="s">
        <v>620</v>
      </c>
      <c r="I24" s="8"/>
      <c r="J24" s="62"/>
    </row>
    <row r="25" spans="2:14" x14ac:dyDescent="0.25">
      <c r="D25" s="186" t="s">
        <v>170</v>
      </c>
      <c r="E25" s="187" t="s">
        <v>429</v>
      </c>
      <c r="F25" s="22" t="s">
        <v>171</v>
      </c>
      <c r="H25" s="194" t="s">
        <v>170</v>
      </c>
      <c r="I25" s="163" t="s">
        <v>430</v>
      </c>
      <c r="J25" s="471" t="s">
        <v>171</v>
      </c>
      <c r="K25" s="473" t="s">
        <v>585</v>
      </c>
      <c r="M25" s="8"/>
      <c r="N25" s="8"/>
    </row>
    <row r="26" spans="2:14" x14ac:dyDescent="0.25">
      <c r="D26" s="192" t="s">
        <v>1</v>
      </c>
      <c r="E26" s="482">
        <f>G6+G7+G8+G9+G10+G11</f>
        <v>1766</v>
      </c>
      <c r="F26" s="188">
        <f>E26/$G$21</f>
        <v>0.54238329238329241</v>
      </c>
      <c r="G26" s="8"/>
      <c r="H26" s="189" t="s">
        <v>1</v>
      </c>
      <c r="I26" s="482">
        <v>1813</v>
      </c>
      <c r="J26" s="472">
        <f>I26/$G$21</f>
        <v>0.55681818181818177</v>
      </c>
      <c r="K26" s="474">
        <f>I26/$I$30</f>
        <v>0.54428099669768837</v>
      </c>
      <c r="M26" s="8"/>
      <c r="N26" s="112"/>
    </row>
    <row r="27" spans="2:14" x14ac:dyDescent="0.25">
      <c r="D27" s="193" t="s">
        <v>126</v>
      </c>
      <c r="E27" s="191">
        <f>G13+G15</f>
        <v>1106.7485166443607</v>
      </c>
      <c r="F27" s="190">
        <f>E27/$G$21</f>
        <v>0.3399104780848774</v>
      </c>
      <c r="G27" s="8"/>
      <c r="H27" s="189" t="s">
        <v>126</v>
      </c>
      <c r="I27" s="191">
        <v>1333</v>
      </c>
      <c r="J27" s="472">
        <f>I27/$G$21</f>
        <v>0.4093980343980344</v>
      </c>
      <c r="K27" s="474">
        <f t="shared" ref="K27:K29" si="3">I27/$I$30</f>
        <v>0.40018012608826176</v>
      </c>
      <c r="M27" s="8"/>
      <c r="N27" s="112"/>
    </row>
    <row r="28" spans="2:14" x14ac:dyDescent="0.25">
      <c r="D28" s="214" t="s">
        <v>162</v>
      </c>
      <c r="E28" s="191">
        <f>G17</f>
        <v>86</v>
      </c>
      <c r="F28" s="190">
        <f>E28/$G$21</f>
        <v>2.6412776412776413E-2</v>
      </c>
      <c r="G28" s="8"/>
      <c r="H28" s="189" t="s">
        <v>162</v>
      </c>
      <c r="I28" s="191">
        <v>96</v>
      </c>
      <c r="J28" s="472">
        <f>I28/$G$21</f>
        <v>2.9484029484029485E-2</v>
      </c>
      <c r="K28" s="474">
        <f t="shared" si="3"/>
        <v>2.8820174121885318E-2</v>
      </c>
      <c r="M28" s="8"/>
      <c r="N28" s="112"/>
    </row>
    <row r="29" spans="2:14" ht="15.75" thickBot="1" x14ac:dyDescent="0.3">
      <c r="D29" s="487" t="s">
        <v>148</v>
      </c>
      <c r="E29" s="488">
        <f>G19</f>
        <v>88.600000000000009</v>
      </c>
      <c r="F29" s="489">
        <f>E29/$G$21</f>
        <v>2.7211302211302215E-2</v>
      </c>
      <c r="G29" s="8"/>
      <c r="H29" s="477" t="s">
        <v>148</v>
      </c>
      <c r="I29" s="483">
        <v>89</v>
      </c>
      <c r="J29" s="478">
        <f>I29/$G$21</f>
        <v>2.7334152334152335E-2</v>
      </c>
      <c r="K29" s="479">
        <f t="shared" si="3"/>
        <v>2.6718703092164516E-2</v>
      </c>
      <c r="N29" s="112"/>
    </row>
    <row r="30" spans="2:14" ht="15.75" thickBot="1" x14ac:dyDescent="0.3">
      <c r="D30" s="484" t="s">
        <v>127</v>
      </c>
      <c r="E30" s="485">
        <f>SUM(E26:E29)</f>
        <v>3047.3485166443606</v>
      </c>
      <c r="F30" s="486">
        <f>SUM(F26:F29)</f>
        <v>0.9359178490922484</v>
      </c>
      <c r="H30" s="475" t="s">
        <v>127</v>
      </c>
      <c r="I30" s="476">
        <f>SUM(I26:I29)</f>
        <v>3331</v>
      </c>
      <c r="J30" s="480">
        <f>SUM(J26:J29)</f>
        <v>1.0230343980343981</v>
      </c>
      <c r="K30" s="481">
        <f>SUM(K26:K29)</f>
        <v>0.99999999999999989</v>
      </c>
      <c r="L30" s="108"/>
    </row>
    <row r="31" spans="2:14" x14ac:dyDescent="0.25">
      <c r="B31" s="8"/>
      <c r="C31" s="8"/>
      <c r="D31" s="8"/>
      <c r="E31" s="107"/>
      <c r="F31" s="99"/>
      <c r="G31" s="100"/>
    </row>
    <row r="32" spans="2:14" x14ac:dyDescent="0.25">
      <c r="E32" s="107"/>
      <c r="F32" s="99"/>
      <c r="G32" s="108"/>
      <c r="I32" s="59"/>
    </row>
  </sheetData>
  <sheetProtection password="DCA2" sheet="1" objects="1" scenarios="1"/>
  <mergeCells count="11">
    <mergeCell ref="D13:F13"/>
    <mergeCell ref="D15:F15"/>
    <mergeCell ref="D17:F17"/>
    <mergeCell ref="D19:F19"/>
    <mergeCell ref="D4:F4"/>
    <mergeCell ref="D6:F6"/>
    <mergeCell ref="D8:F8"/>
    <mergeCell ref="D9:F9"/>
    <mergeCell ref="D10:F10"/>
    <mergeCell ref="D7:F7"/>
    <mergeCell ref="D11:F11"/>
  </mergeCells>
  <pageMargins left="0.7" right="0.7" top="0.75" bottom="0.75" header="0.3" footer="0.3"/>
  <pageSetup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2:S86"/>
  <sheetViews>
    <sheetView workbookViewId="0">
      <selection activeCell="E91" sqref="E91"/>
    </sheetView>
  </sheetViews>
  <sheetFormatPr defaultRowHeight="15" x14ac:dyDescent="0.25"/>
  <cols>
    <col min="3" max="3" width="52.7109375" customWidth="1"/>
    <col min="4" max="4" width="18.7109375" style="110" customWidth="1"/>
    <col min="5" max="5" width="20.28515625" customWidth="1"/>
    <col min="6" max="7" width="20.7109375" customWidth="1"/>
    <col min="8" max="9" width="9.140625" customWidth="1"/>
    <col min="10" max="10" width="11.5703125" customWidth="1"/>
    <col min="11" max="11" width="33" customWidth="1"/>
    <col min="12" max="14" width="9.140625" hidden="1" customWidth="1"/>
    <col min="15" max="15" width="11" hidden="1" customWidth="1"/>
    <col min="16" max="19" width="9.140625" hidden="1" customWidth="1"/>
    <col min="20" max="26" width="9.140625" customWidth="1"/>
  </cols>
  <sheetData>
    <row r="2" spans="1:18" ht="26.25" x14ac:dyDescent="0.25">
      <c r="A2" s="560" t="s">
        <v>174</v>
      </c>
      <c r="B2" s="560"/>
      <c r="C2" s="560"/>
      <c r="D2" s="560"/>
      <c r="E2" s="560"/>
      <c r="F2" s="560"/>
      <c r="G2" s="560"/>
      <c r="H2" s="560"/>
    </row>
    <row r="3" spans="1:18" ht="15" customHeight="1" x14ac:dyDescent="0.25">
      <c r="A3" s="127" t="s">
        <v>175</v>
      </c>
      <c r="B3" s="126"/>
      <c r="C3" s="126"/>
      <c r="D3" s="128"/>
      <c r="E3" s="126"/>
      <c r="F3" s="126"/>
      <c r="G3" s="126"/>
      <c r="H3" s="126"/>
    </row>
    <row r="4" spans="1:18" ht="15" customHeight="1" x14ac:dyDescent="0.25">
      <c r="A4" s="127" t="s">
        <v>176</v>
      </c>
      <c r="B4" s="126"/>
      <c r="C4" s="126"/>
      <c r="D4" s="128"/>
      <c r="E4" s="126"/>
      <c r="F4" s="126"/>
      <c r="G4" s="126"/>
      <c r="H4" s="126"/>
    </row>
    <row r="5" spans="1:18" ht="15" customHeight="1" x14ac:dyDescent="0.25">
      <c r="A5" s="127"/>
      <c r="B5" s="126"/>
      <c r="C5" s="126"/>
      <c r="D5" s="128"/>
      <c r="E5" s="126"/>
      <c r="F5" s="126"/>
      <c r="G5" s="126"/>
      <c r="H5" s="126"/>
    </row>
    <row r="6" spans="1:18" x14ac:dyDescent="0.25">
      <c r="D6" s="16" t="s">
        <v>28</v>
      </c>
      <c r="E6" s="16" t="s">
        <v>29</v>
      </c>
      <c r="F6" s="129" t="s">
        <v>177</v>
      </c>
      <c r="G6" s="130"/>
      <c r="H6" s="131"/>
    </row>
    <row r="7" spans="1:18" ht="14.45" x14ac:dyDescent="0.3">
      <c r="D7" s="103"/>
      <c r="E7" s="103"/>
      <c r="F7" s="10"/>
      <c r="G7" s="10"/>
    </row>
    <row r="8" spans="1:18" ht="15" customHeight="1" x14ac:dyDescent="0.25">
      <c r="A8" s="544" t="s">
        <v>178</v>
      </c>
      <c r="B8" s="561"/>
      <c r="C8" s="561"/>
      <c r="D8" s="561"/>
      <c r="E8" s="562"/>
    </row>
    <row r="9" spans="1:18" ht="15" customHeight="1" x14ac:dyDescent="0.25">
      <c r="A9" s="550" t="s">
        <v>179</v>
      </c>
      <c r="B9" s="551"/>
      <c r="C9" s="552"/>
      <c r="D9" s="132">
        <v>8760</v>
      </c>
      <c r="E9" s="58"/>
      <c r="F9" s="133"/>
      <c r="G9" s="62"/>
      <c r="H9" s="62"/>
      <c r="I9" s="62"/>
      <c r="J9" s="62"/>
      <c r="K9" s="91"/>
      <c r="L9" s="91"/>
      <c r="M9" s="91"/>
      <c r="N9" s="8"/>
      <c r="O9" s="8"/>
      <c r="P9" s="8"/>
      <c r="Q9" s="8"/>
      <c r="R9" s="8"/>
    </row>
    <row r="10" spans="1:18" x14ac:dyDescent="0.25">
      <c r="A10" s="134" t="s">
        <v>180</v>
      </c>
      <c r="B10" s="104"/>
      <c r="C10" s="97"/>
      <c r="D10" s="132">
        <f>D9*(1/3)</f>
        <v>2920</v>
      </c>
      <c r="E10" s="97"/>
    </row>
    <row r="11" spans="1:18" x14ac:dyDescent="0.25">
      <c r="A11" s="131" t="s">
        <v>181</v>
      </c>
      <c r="B11" s="104"/>
      <c r="C11" s="97"/>
      <c r="D11" s="135">
        <v>2204.62</v>
      </c>
      <c r="E11" s="97"/>
    </row>
    <row r="12" spans="1:18" x14ac:dyDescent="0.25">
      <c r="A12" s="550" t="s">
        <v>182</v>
      </c>
      <c r="B12" s="551"/>
      <c r="C12" s="552"/>
      <c r="D12" s="132">
        <v>1000</v>
      </c>
      <c r="E12" s="69"/>
    </row>
    <row r="13" spans="1:18" x14ac:dyDescent="0.25">
      <c r="A13" s="550" t="s">
        <v>183</v>
      </c>
      <c r="B13" s="551"/>
      <c r="C13" s="552"/>
      <c r="D13" s="136">
        <v>11.7</v>
      </c>
      <c r="E13" s="69"/>
      <c r="G13" s="137"/>
    </row>
    <row r="14" spans="1:18" x14ac:dyDescent="0.25">
      <c r="F14" s="138"/>
      <c r="G14" s="139"/>
    </row>
    <row r="15" spans="1:18" ht="15" customHeight="1" x14ac:dyDescent="0.25">
      <c r="A15" s="544" t="s">
        <v>184</v>
      </c>
      <c r="B15" s="545"/>
      <c r="C15" s="545"/>
      <c r="D15" s="545"/>
      <c r="E15" s="546"/>
    </row>
    <row r="16" spans="1:18" ht="15" customHeight="1" x14ac:dyDescent="0.35">
      <c r="A16" s="550" t="s">
        <v>185</v>
      </c>
      <c r="B16" s="551"/>
      <c r="C16" s="552"/>
      <c r="D16" s="140">
        <v>0.68200000000000005</v>
      </c>
      <c r="E16" s="37" t="s">
        <v>186</v>
      </c>
      <c r="F16" t="s">
        <v>187</v>
      </c>
      <c r="G16" s="61"/>
    </row>
    <row r="17" spans="1:13" ht="15" customHeight="1" x14ac:dyDescent="0.35">
      <c r="A17" s="550" t="s">
        <v>188</v>
      </c>
      <c r="B17" s="551"/>
      <c r="C17" s="552"/>
      <c r="D17" s="140">
        <f>D16/D11*D12</f>
        <v>0.30935036423510631</v>
      </c>
      <c r="E17" s="37" t="s">
        <v>189</v>
      </c>
      <c r="G17" s="61"/>
    </row>
    <row r="18" spans="1:13" ht="15" customHeight="1" x14ac:dyDescent="0.35">
      <c r="A18" s="550" t="s">
        <v>190</v>
      </c>
      <c r="B18" s="551"/>
      <c r="C18" s="552"/>
      <c r="D18" s="141">
        <v>2.9000000000000001E-2</v>
      </c>
      <c r="E18" s="37" t="s">
        <v>191</v>
      </c>
      <c r="F18" t="s">
        <v>192</v>
      </c>
      <c r="G18" s="61"/>
    </row>
    <row r="19" spans="1:13" ht="18" x14ac:dyDescent="0.35">
      <c r="A19" s="550" t="s">
        <v>190</v>
      </c>
      <c r="B19" s="551"/>
      <c r="C19" s="552"/>
      <c r="D19" s="140">
        <v>1.0999999999999999E-2</v>
      </c>
      <c r="E19" s="37" t="s">
        <v>193</v>
      </c>
      <c r="F19" t="s">
        <v>192</v>
      </c>
      <c r="G19" s="61"/>
    </row>
    <row r="20" spans="1:13" x14ac:dyDescent="0.25">
      <c r="A20" s="550" t="s">
        <v>194</v>
      </c>
      <c r="B20" s="551"/>
      <c r="C20" s="552"/>
      <c r="D20" s="141">
        <v>53.02</v>
      </c>
      <c r="E20" s="37" t="s">
        <v>38</v>
      </c>
      <c r="F20" t="s">
        <v>195</v>
      </c>
      <c r="G20" s="61"/>
    </row>
    <row r="21" spans="1:13" x14ac:dyDescent="0.25">
      <c r="A21" s="550" t="s">
        <v>194</v>
      </c>
      <c r="B21" s="551"/>
      <c r="C21" s="552"/>
      <c r="D21" s="141">
        <v>5.0000000000000001E-3</v>
      </c>
      <c r="E21" s="37" t="s">
        <v>196</v>
      </c>
      <c r="F21" t="s">
        <v>197</v>
      </c>
      <c r="G21" s="61"/>
    </row>
    <row r="22" spans="1:13" x14ac:dyDescent="0.25">
      <c r="A22" s="550" t="s">
        <v>194</v>
      </c>
      <c r="B22" s="551"/>
      <c r="C22" s="552"/>
      <c r="D22" s="141">
        <v>1E-4</v>
      </c>
      <c r="E22" s="37" t="s">
        <v>198</v>
      </c>
      <c r="F22" t="s">
        <v>197</v>
      </c>
      <c r="G22" s="61"/>
    </row>
    <row r="23" spans="1:13" ht="14.45" x14ac:dyDescent="0.3">
      <c r="B23" s="8"/>
      <c r="C23" s="8"/>
    </row>
    <row r="24" spans="1:13" ht="14.45" x14ac:dyDescent="0.3">
      <c r="A24" s="544" t="s">
        <v>199</v>
      </c>
      <c r="B24" s="545"/>
      <c r="C24" s="545"/>
      <c r="D24" s="545"/>
      <c r="E24" s="546"/>
    </row>
    <row r="25" spans="1:13" ht="14.45" x14ac:dyDescent="0.3">
      <c r="A25" s="556" t="s">
        <v>200</v>
      </c>
      <c r="B25" s="557"/>
      <c r="C25" s="557"/>
      <c r="D25" s="132">
        <f>1448</f>
        <v>1448</v>
      </c>
      <c r="E25" s="142" t="s">
        <v>2</v>
      </c>
      <c r="F25" s="143" t="s">
        <v>201</v>
      </c>
      <c r="J25" s="59"/>
    </row>
    <row r="26" spans="1:13" ht="14.45" x14ac:dyDescent="0.3">
      <c r="A26" s="556" t="s">
        <v>202</v>
      </c>
      <c r="B26" s="557"/>
      <c r="C26" s="557"/>
      <c r="D26" s="132">
        <f>2061</f>
        <v>2061</v>
      </c>
      <c r="E26" s="142" t="s">
        <v>2</v>
      </c>
      <c r="F26" s="143" t="s">
        <v>201</v>
      </c>
      <c r="J26" s="59"/>
    </row>
    <row r="27" spans="1:13" ht="14.45" x14ac:dyDescent="0.3">
      <c r="A27" s="553" t="s">
        <v>203</v>
      </c>
      <c r="B27" s="554"/>
      <c r="C27" s="554"/>
      <c r="D27" s="132">
        <f>D25*D37</f>
        <v>2772920</v>
      </c>
      <c r="E27" s="142" t="s">
        <v>2</v>
      </c>
      <c r="F27" s="91" t="s">
        <v>204</v>
      </c>
      <c r="M27" s="144"/>
    </row>
    <row r="28" spans="1:13" ht="15.75" customHeight="1" x14ac:dyDescent="0.3">
      <c r="A28" s="558" t="s">
        <v>205</v>
      </c>
      <c r="B28" s="559"/>
      <c r="C28" s="559"/>
      <c r="D28" s="132">
        <f>(D25*D37)+((D38-D37)*D26)</f>
        <v>4081655</v>
      </c>
      <c r="E28" s="142" t="s">
        <v>2</v>
      </c>
      <c r="F28" s="91" t="s">
        <v>204</v>
      </c>
    </row>
    <row r="29" spans="1:13" ht="14.45" x14ac:dyDescent="0.3">
      <c r="A29" s="553" t="s">
        <v>206</v>
      </c>
      <c r="B29" s="554"/>
      <c r="C29" s="554"/>
      <c r="D29" s="132">
        <f>(D25*D37)+((D39-D37)*D26)</f>
        <v>5009105</v>
      </c>
      <c r="E29" s="142" t="s">
        <v>2</v>
      </c>
      <c r="F29" s="91" t="s">
        <v>204</v>
      </c>
    </row>
    <row r="30" spans="1:13" ht="14.45" x14ac:dyDescent="0.3">
      <c r="A30" s="553" t="s">
        <v>207</v>
      </c>
      <c r="B30" s="554"/>
      <c r="C30" s="554"/>
      <c r="D30" s="132">
        <f>(43500+237000+360000)</f>
        <v>640500</v>
      </c>
      <c r="E30" s="142" t="s">
        <v>2</v>
      </c>
      <c r="F30" s="91" t="s">
        <v>208</v>
      </c>
      <c r="G30" s="91"/>
      <c r="H30" s="91"/>
      <c r="I30" s="91"/>
      <c r="J30" s="91"/>
    </row>
    <row r="31" spans="1:13" ht="14.45" x14ac:dyDescent="0.3">
      <c r="A31" s="553" t="s">
        <v>209</v>
      </c>
      <c r="B31" s="554"/>
      <c r="C31" s="554"/>
      <c r="D31" s="132">
        <f>D30*1</f>
        <v>640500</v>
      </c>
      <c r="E31" s="142" t="s">
        <v>2</v>
      </c>
      <c r="F31" s="91" t="s">
        <v>611</v>
      </c>
      <c r="G31" s="91"/>
      <c r="H31" s="91"/>
      <c r="I31" s="91"/>
      <c r="J31" s="91"/>
    </row>
    <row r="32" spans="1:13" ht="14.45" x14ac:dyDescent="0.3">
      <c r="A32" s="553" t="s">
        <v>210</v>
      </c>
      <c r="B32" s="554"/>
      <c r="C32" s="554"/>
      <c r="D32" s="132">
        <f>900/749*D30</f>
        <v>769626.16822429909</v>
      </c>
      <c r="E32" s="142" t="s">
        <v>2</v>
      </c>
      <c r="F32" s="91" t="s">
        <v>611</v>
      </c>
      <c r="G32" s="91"/>
      <c r="H32" s="91"/>
      <c r="I32" s="91"/>
      <c r="J32" s="91"/>
    </row>
    <row r="33" spans="1:16" ht="14.45" x14ac:dyDescent="0.3">
      <c r="A33" s="547" t="s">
        <v>211</v>
      </c>
      <c r="B33" s="548"/>
      <c r="C33" s="549"/>
      <c r="D33" s="132">
        <f>D28-D27</f>
        <v>1308735</v>
      </c>
      <c r="E33" s="30" t="s">
        <v>2</v>
      </c>
      <c r="F33" s="91"/>
    </row>
    <row r="34" spans="1:16" ht="14.45" x14ac:dyDescent="0.3">
      <c r="A34" s="547" t="s">
        <v>212</v>
      </c>
      <c r="B34" s="548"/>
      <c r="C34" s="549"/>
      <c r="D34" s="132">
        <f>D29-D27</f>
        <v>2236185</v>
      </c>
      <c r="E34" s="30" t="s">
        <v>2</v>
      </c>
      <c r="F34" s="91"/>
      <c r="J34" s="145"/>
    </row>
    <row r="35" spans="1:16" ht="14.45" x14ac:dyDescent="0.3">
      <c r="A35" s="547" t="s">
        <v>213</v>
      </c>
      <c r="B35" s="548"/>
      <c r="C35" s="549"/>
      <c r="D35" s="132">
        <f>D31*0.1</f>
        <v>64050</v>
      </c>
      <c r="E35" s="30" t="s">
        <v>2</v>
      </c>
      <c r="F35" s="91"/>
      <c r="G35" s="146"/>
    </row>
    <row r="36" spans="1:16" ht="14.45" x14ac:dyDescent="0.3">
      <c r="A36" s="547" t="s">
        <v>214</v>
      </c>
      <c r="B36" s="548"/>
      <c r="C36" s="549"/>
      <c r="D36" s="132">
        <f>D32-D30</f>
        <v>129126.16822429909</v>
      </c>
      <c r="E36" s="30" t="s">
        <v>2</v>
      </c>
      <c r="F36" s="91"/>
    </row>
    <row r="37" spans="1:16" ht="14.45" x14ac:dyDescent="0.3">
      <c r="A37" s="547" t="s">
        <v>215</v>
      </c>
      <c r="B37" s="548"/>
      <c r="C37" s="549"/>
      <c r="D37" s="132">
        <v>1915</v>
      </c>
      <c r="E37" s="142" t="s">
        <v>216</v>
      </c>
      <c r="F37" t="s">
        <v>217</v>
      </c>
    </row>
    <row r="38" spans="1:16" x14ac:dyDescent="0.25">
      <c r="A38" s="547" t="s">
        <v>218</v>
      </c>
      <c r="B38" s="548"/>
      <c r="C38" s="549"/>
      <c r="D38" s="132">
        <v>2550</v>
      </c>
      <c r="E38" s="142" t="s">
        <v>216</v>
      </c>
      <c r="F38" t="s">
        <v>219</v>
      </c>
    </row>
    <row r="39" spans="1:16" x14ac:dyDescent="0.25">
      <c r="A39" s="547" t="s">
        <v>220</v>
      </c>
      <c r="B39" s="548"/>
      <c r="C39" s="549"/>
      <c r="D39" s="132">
        <v>3000</v>
      </c>
      <c r="E39" s="142" t="s">
        <v>216</v>
      </c>
      <c r="F39" t="s">
        <v>219</v>
      </c>
      <c r="G39" s="91"/>
      <c r="H39" s="91"/>
      <c r="I39" s="91"/>
      <c r="J39" s="91"/>
      <c r="K39" s="91"/>
      <c r="L39" s="91"/>
      <c r="M39" s="91"/>
      <c r="N39" s="91"/>
      <c r="O39" s="91"/>
    </row>
    <row r="40" spans="1:16" x14ac:dyDescent="0.25">
      <c r="A40" s="547" t="s">
        <v>221</v>
      </c>
      <c r="B40" s="548"/>
      <c r="C40" s="549"/>
      <c r="D40" s="132">
        <v>242</v>
      </c>
      <c r="E40" s="30" t="s">
        <v>222</v>
      </c>
      <c r="F40" t="s">
        <v>223</v>
      </c>
    </row>
    <row r="41" spans="1:16" ht="15" customHeight="1" x14ac:dyDescent="0.25">
      <c r="A41" s="547" t="s">
        <v>224</v>
      </c>
      <c r="B41" s="548"/>
      <c r="C41" s="549"/>
      <c r="D41" s="132">
        <f>D31/(D30/D40)</f>
        <v>242</v>
      </c>
      <c r="E41" s="30" t="s">
        <v>222</v>
      </c>
      <c r="F41" s="91"/>
      <c r="G41" s="91"/>
      <c r="H41" s="91"/>
      <c r="I41" s="91"/>
      <c r="J41" s="91"/>
      <c r="K41" s="91"/>
      <c r="L41" s="91"/>
      <c r="M41" s="91"/>
      <c r="N41" s="91"/>
      <c r="O41" s="91"/>
    </row>
    <row r="42" spans="1:16" ht="15" customHeight="1" x14ac:dyDescent="0.25">
      <c r="A42" s="547" t="s">
        <v>225</v>
      </c>
      <c r="B42" s="548"/>
      <c r="C42" s="549"/>
      <c r="D42" s="132">
        <f>D32/(D30/D40)</f>
        <v>290.78771695594128</v>
      </c>
      <c r="E42" s="30" t="s">
        <v>222</v>
      </c>
      <c r="F42" s="91"/>
      <c r="G42" s="91"/>
      <c r="H42" s="91"/>
      <c r="I42" s="91"/>
      <c r="J42" s="91"/>
      <c r="K42" s="91"/>
      <c r="L42" s="91"/>
      <c r="M42" s="91"/>
      <c r="N42" s="91"/>
      <c r="O42" s="91"/>
    </row>
    <row r="43" spans="1:16" x14ac:dyDescent="0.25">
      <c r="A43" s="547" t="s">
        <v>226</v>
      </c>
      <c r="B43" s="548"/>
      <c r="C43" s="549"/>
      <c r="D43" s="147">
        <f>1.815</f>
        <v>1.8149999999999999</v>
      </c>
      <c r="E43" s="142" t="s">
        <v>227</v>
      </c>
      <c r="F43" t="s">
        <v>228</v>
      </c>
      <c r="G43" s="91"/>
      <c r="H43" s="91"/>
      <c r="I43" s="91"/>
      <c r="J43" s="91"/>
      <c r="K43" s="91"/>
      <c r="L43" s="91"/>
      <c r="M43" s="91"/>
      <c r="N43" s="91"/>
      <c r="O43" s="91"/>
    </row>
    <row r="44" spans="1:16" x14ac:dyDescent="0.25">
      <c r="A44" s="547" t="s">
        <v>229</v>
      </c>
      <c r="B44" s="548"/>
      <c r="C44" s="549"/>
      <c r="D44" s="148">
        <v>1.9</v>
      </c>
      <c r="E44" s="142" t="s">
        <v>227</v>
      </c>
      <c r="F44" t="s">
        <v>230</v>
      </c>
      <c r="G44" s="91"/>
      <c r="H44" s="91"/>
      <c r="I44" s="91"/>
      <c r="J44" s="91"/>
      <c r="K44" s="91"/>
      <c r="L44" s="91"/>
      <c r="M44" s="91"/>
      <c r="N44" s="91"/>
      <c r="O44" s="91"/>
    </row>
    <row r="45" spans="1:16" ht="15" customHeight="1" x14ac:dyDescent="0.25">
      <c r="A45" s="547" t="s">
        <v>231</v>
      </c>
      <c r="B45" s="548"/>
      <c r="C45" s="549"/>
      <c r="D45" s="132">
        <f>D43*640</f>
        <v>1161.5999999999999</v>
      </c>
      <c r="E45" s="142" t="s">
        <v>232</v>
      </c>
      <c r="G45" s="91"/>
      <c r="H45" s="91"/>
      <c r="I45" s="91"/>
      <c r="J45" s="91"/>
      <c r="K45" s="91"/>
      <c r="L45" s="91"/>
      <c r="M45" s="91"/>
      <c r="N45" s="91"/>
      <c r="O45" s="91"/>
    </row>
    <row r="46" spans="1:16" ht="15" customHeight="1" x14ac:dyDescent="0.25">
      <c r="A46" s="547" t="s">
        <v>233</v>
      </c>
      <c r="B46" s="548"/>
      <c r="C46" s="549"/>
      <c r="D46" s="132">
        <f>D43*640</f>
        <v>1161.5999999999999</v>
      </c>
      <c r="E46" s="142" t="s">
        <v>232</v>
      </c>
      <c r="G46" s="91"/>
      <c r="H46" s="91"/>
      <c r="I46" s="91"/>
      <c r="J46" s="91"/>
      <c r="K46" s="91"/>
      <c r="L46" s="91"/>
      <c r="M46" s="91"/>
      <c r="N46" s="91"/>
      <c r="O46" s="91"/>
    </row>
    <row r="47" spans="1:16" ht="15" customHeight="1" x14ac:dyDescent="0.25">
      <c r="A47" s="547" t="s">
        <v>234</v>
      </c>
      <c r="B47" s="548"/>
      <c r="C47" s="549"/>
      <c r="D47" s="132">
        <v>2377.6</v>
      </c>
      <c r="E47" s="142" t="s">
        <v>232</v>
      </c>
      <c r="F47" t="s">
        <v>514</v>
      </c>
      <c r="G47" s="91"/>
      <c r="H47" s="91"/>
      <c r="I47" s="91"/>
      <c r="J47" s="91"/>
      <c r="K47" s="91"/>
      <c r="L47" s="91"/>
      <c r="M47" s="91"/>
      <c r="N47" s="91"/>
      <c r="O47" s="91"/>
      <c r="P47" s="91"/>
    </row>
    <row r="48" spans="1:16" x14ac:dyDescent="0.25">
      <c r="A48" s="547" t="s">
        <v>235</v>
      </c>
      <c r="B48" s="548"/>
      <c r="C48" s="549"/>
      <c r="D48" s="136">
        <f>D37/D45</f>
        <v>1.6485881542699725</v>
      </c>
      <c r="E48" s="15" t="s">
        <v>236</v>
      </c>
      <c r="F48" s="91"/>
      <c r="G48" s="91"/>
      <c r="H48" s="91"/>
      <c r="I48" s="91"/>
      <c r="J48" s="91"/>
      <c r="K48" s="91"/>
      <c r="L48" s="91"/>
      <c r="M48" s="91"/>
      <c r="N48" s="91"/>
      <c r="O48" s="91"/>
    </row>
    <row r="49" spans="1:15" x14ac:dyDescent="0.25">
      <c r="A49" s="547" t="s">
        <v>237</v>
      </c>
      <c r="B49" s="548"/>
      <c r="C49" s="549"/>
      <c r="D49" s="136">
        <f>D38/D46</f>
        <v>2.1952479338842976</v>
      </c>
      <c r="E49" s="15" t="s">
        <v>236</v>
      </c>
      <c r="F49" s="91"/>
      <c r="G49" s="91"/>
      <c r="H49" s="91"/>
      <c r="I49" s="91"/>
      <c r="J49" s="91"/>
      <c r="K49" s="91"/>
      <c r="L49" s="91"/>
      <c r="M49" s="91"/>
      <c r="N49" s="91"/>
      <c r="O49" s="91"/>
    </row>
    <row r="50" spans="1:15" x14ac:dyDescent="0.25">
      <c r="A50" s="547" t="s">
        <v>238</v>
      </c>
      <c r="B50" s="548"/>
      <c r="C50" s="549"/>
      <c r="D50" s="136">
        <f>D39/D47</f>
        <v>1.2617765814266488</v>
      </c>
      <c r="E50" s="15" t="s">
        <v>236</v>
      </c>
      <c r="F50" s="91"/>
      <c r="G50" s="91"/>
      <c r="H50" s="91"/>
      <c r="I50" s="91"/>
      <c r="J50" s="91"/>
      <c r="K50" s="91"/>
      <c r="L50" s="91"/>
      <c r="M50" s="91"/>
      <c r="N50" s="91"/>
      <c r="O50" s="91"/>
    </row>
    <row r="51" spans="1:15" x14ac:dyDescent="0.25">
      <c r="A51" s="102"/>
      <c r="B51" s="102"/>
      <c r="C51" s="102"/>
      <c r="D51" s="149"/>
    </row>
    <row r="52" spans="1:15" x14ac:dyDescent="0.25">
      <c r="A52" s="544" t="s">
        <v>239</v>
      </c>
      <c r="B52" s="545"/>
      <c r="C52" s="545"/>
      <c r="D52" s="545"/>
      <c r="E52" s="546"/>
    </row>
    <row r="53" spans="1:15" x14ac:dyDescent="0.25">
      <c r="A53" s="550" t="s">
        <v>240</v>
      </c>
      <c r="B53" s="551"/>
      <c r="C53" s="552"/>
      <c r="D53" s="136">
        <v>3.5</v>
      </c>
      <c r="E53" s="37" t="s">
        <v>4</v>
      </c>
      <c r="F53" t="s">
        <v>241</v>
      </c>
      <c r="G53" s="61" t="s">
        <v>242</v>
      </c>
    </row>
    <row r="54" spans="1:15" x14ac:dyDescent="0.25">
      <c r="A54" s="550" t="s">
        <v>546</v>
      </c>
      <c r="B54" s="551"/>
      <c r="C54" s="552"/>
      <c r="D54" s="136">
        <v>0.31</v>
      </c>
      <c r="E54" s="37" t="s">
        <v>5</v>
      </c>
      <c r="F54" t="s">
        <v>241</v>
      </c>
      <c r="G54" s="61" t="s">
        <v>242</v>
      </c>
    </row>
    <row r="55" spans="1:15" ht="15.75" customHeight="1" x14ac:dyDescent="0.25">
      <c r="A55" s="550" t="s">
        <v>243</v>
      </c>
      <c r="B55" s="551"/>
      <c r="C55" s="552"/>
      <c r="D55" s="136">
        <v>13.63</v>
      </c>
      <c r="E55" s="37" t="s">
        <v>4</v>
      </c>
      <c r="F55" t="s">
        <v>244</v>
      </c>
    </row>
    <row r="56" spans="1:15" ht="15.75" customHeight="1" x14ac:dyDescent="0.25">
      <c r="A56" s="550" t="s">
        <v>245</v>
      </c>
      <c r="B56" s="551"/>
      <c r="C56" s="552"/>
      <c r="D56" s="136">
        <v>0.26</v>
      </c>
      <c r="E56" s="37" t="s">
        <v>5</v>
      </c>
      <c r="F56" t="s">
        <v>244</v>
      </c>
    </row>
    <row r="58" spans="1:15" x14ac:dyDescent="0.25">
      <c r="A58" s="544" t="s">
        <v>246</v>
      </c>
      <c r="B58" s="545"/>
      <c r="C58" s="545"/>
      <c r="D58" s="545"/>
      <c r="E58" s="546"/>
    </row>
    <row r="59" spans="1:15" ht="15" customHeight="1" x14ac:dyDescent="0.25">
      <c r="A59" s="547" t="s">
        <v>247</v>
      </c>
      <c r="B59" s="548"/>
      <c r="C59" s="549"/>
      <c r="D59" s="136">
        <f>7123347/D27</f>
        <v>2.5688974077867375</v>
      </c>
      <c r="E59" s="37" t="s">
        <v>4</v>
      </c>
      <c r="F59" s="91" t="s">
        <v>248</v>
      </c>
    </row>
    <row r="60" spans="1:15" ht="15" customHeight="1" x14ac:dyDescent="0.25">
      <c r="A60" s="547" t="s">
        <v>249</v>
      </c>
      <c r="B60" s="548"/>
      <c r="C60" s="549"/>
      <c r="D60" s="136">
        <f>822372/D27</f>
        <v>0.296572566103602</v>
      </c>
      <c r="E60" s="37" t="s">
        <v>5</v>
      </c>
      <c r="F60" s="91" t="s">
        <v>250</v>
      </c>
    </row>
    <row r="61" spans="1:15" ht="15" customHeight="1" x14ac:dyDescent="0.25">
      <c r="A61" s="547" t="s">
        <v>251</v>
      </c>
      <c r="B61" s="548"/>
      <c r="C61" s="549"/>
      <c r="D61" s="136">
        <v>2.65</v>
      </c>
      <c r="E61" s="37" t="s">
        <v>4</v>
      </c>
      <c r="F61" s="91" t="s">
        <v>252</v>
      </c>
    </row>
    <row r="62" spans="1:15" ht="15" customHeight="1" x14ac:dyDescent="0.25">
      <c r="A62" s="547" t="s">
        <v>253</v>
      </c>
      <c r="B62" s="548"/>
      <c r="C62" s="549"/>
      <c r="D62" s="136">
        <f>1169470/D30</f>
        <v>1.8258704137392663</v>
      </c>
      <c r="E62" s="37" t="s">
        <v>5</v>
      </c>
      <c r="F62" s="91" t="s">
        <v>254</v>
      </c>
    </row>
    <row r="64" spans="1:15" ht="15" customHeight="1" x14ac:dyDescent="0.25">
      <c r="A64" s="544" t="s">
        <v>527</v>
      </c>
      <c r="B64" s="545"/>
      <c r="C64" s="545"/>
      <c r="D64" s="545"/>
      <c r="E64" s="546"/>
      <c r="F64" s="91"/>
    </row>
    <row r="65" spans="1:19" ht="15" customHeight="1" x14ac:dyDescent="0.25">
      <c r="A65" s="547" t="s">
        <v>522</v>
      </c>
      <c r="B65" s="548"/>
      <c r="C65" s="549"/>
      <c r="D65" s="147">
        <v>7.0000000000000007E-2</v>
      </c>
      <c r="E65" s="111"/>
      <c r="F65" s="91"/>
    </row>
    <row r="66" spans="1:19" ht="15" customHeight="1" x14ac:dyDescent="0.25">
      <c r="A66" s="547" t="s">
        <v>523</v>
      </c>
      <c r="B66" s="548"/>
      <c r="C66" s="549"/>
      <c r="D66" s="147">
        <f>9072.42</f>
        <v>9072.42</v>
      </c>
      <c r="E66" s="37" t="s">
        <v>524</v>
      </c>
      <c r="F66" s="91"/>
    </row>
    <row r="67" spans="1:19" ht="15" customHeight="1" x14ac:dyDescent="0.25">
      <c r="A67" s="547" t="s">
        <v>525</v>
      </c>
      <c r="B67" s="548"/>
      <c r="C67" s="549"/>
      <c r="D67" s="222">
        <f>14219793</f>
        <v>14219793</v>
      </c>
      <c r="E67" s="37" t="s">
        <v>526</v>
      </c>
      <c r="F67" s="91"/>
    </row>
    <row r="68" spans="1:19" ht="15" customHeight="1" x14ac:dyDescent="0.25">
      <c r="A68" s="547" t="s">
        <v>318</v>
      </c>
      <c r="B68" s="548"/>
      <c r="C68" s="549"/>
      <c r="D68" s="223">
        <f>D66/D67</f>
        <v>6.3801350694767502E-4</v>
      </c>
      <c r="E68" s="37" t="s">
        <v>319</v>
      </c>
      <c r="F68" s="91"/>
    </row>
    <row r="69" spans="1:19" ht="15" customHeight="1" x14ac:dyDescent="0.25">
      <c r="A69" s="553" t="s">
        <v>528</v>
      </c>
      <c r="B69" s="554"/>
      <c r="C69" s="555"/>
      <c r="D69" s="222">
        <v>49065800</v>
      </c>
      <c r="E69" s="37" t="s">
        <v>322</v>
      </c>
      <c r="F69" t="s">
        <v>529</v>
      </c>
      <c r="L69" s="224" t="s">
        <v>530</v>
      </c>
      <c r="M69" s="224"/>
      <c r="N69" s="224"/>
      <c r="O69" s="224"/>
      <c r="P69" s="224"/>
      <c r="Q69" s="224"/>
      <c r="R69" s="225"/>
      <c r="S69" s="224"/>
    </row>
    <row r="70" spans="1:19" ht="15" customHeight="1" x14ac:dyDescent="0.25">
      <c r="A70" s="547" t="s">
        <v>531</v>
      </c>
      <c r="B70" s="548"/>
      <c r="C70" s="549"/>
      <c r="D70" s="222">
        <v>59908448</v>
      </c>
      <c r="E70" s="37" t="s">
        <v>322</v>
      </c>
      <c r="F70" t="s">
        <v>532</v>
      </c>
      <c r="L70" s="224" t="s">
        <v>533</v>
      </c>
      <c r="M70" s="224"/>
      <c r="N70" s="224"/>
      <c r="O70" s="224"/>
      <c r="P70" s="224"/>
      <c r="Q70" s="224"/>
      <c r="R70" s="224"/>
      <c r="S70" s="224"/>
    </row>
    <row r="71" spans="1:19" ht="15" customHeight="1" x14ac:dyDescent="0.25">
      <c r="A71" s="547" t="s">
        <v>534</v>
      </c>
      <c r="B71" s="548"/>
      <c r="C71" s="549"/>
      <c r="D71" s="132">
        <f>D69*0.277</f>
        <v>13591226.600000001</v>
      </c>
      <c r="E71" s="37" t="s">
        <v>322</v>
      </c>
      <c r="F71" t="s">
        <v>535</v>
      </c>
      <c r="L71" t="s">
        <v>535</v>
      </c>
    </row>
    <row r="72" spans="1:19" ht="15" customHeight="1" x14ac:dyDescent="0.25">
      <c r="A72" s="547" t="s">
        <v>360</v>
      </c>
      <c r="B72" s="548"/>
      <c r="C72" s="549"/>
      <c r="D72" s="222">
        <f>D70*0.277</f>
        <v>16594640.096000001</v>
      </c>
      <c r="E72" s="37" t="s">
        <v>322</v>
      </c>
      <c r="F72" t="s">
        <v>535</v>
      </c>
      <c r="L72" t="s">
        <v>535</v>
      </c>
    </row>
    <row r="73" spans="1:19" ht="15" customHeight="1" x14ac:dyDescent="0.25">
      <c r="A73" s="547" t="s">
        <v>536</v>
      </c>
      <c r="B73" s="548"/>
      <c r="C73" s="549"/>
      <c r="D73" s="132">
        <f>D69*0.4665</f>
        <v>22889195.700000003</v>
      </c>
      <c r="E73" s="37" t="s">
        <v>322</v>
      </c>
      <c r="F73" s="226" t="s">
        <v>537</v>
      </c>
      <c r="L73" s="227" t="s">
        <v>538</v>
      </c>
      <c r="M73" s="227"/>
      <c r="N73" s="227"/>
      <c r="O73" s="227"/>
      <c r="P73" s="227"/>
      <c r="Q73" s="227"/>
      <c r="R73" s="227"/>
      <c r="S73" s="227"/>
    </row>
    <row r="74" spans="1:19" ht="15" customHeight="1" x14ac:dyDescent="0.25">
      <c r="A74" s="547" t="s">
        <v>539</v>
      </c>
      <c r="B74" s="548"/>
      <c r="C74" s="549"/>
      <c r="D74" s="222">
        <f>D70*0.4665</f>
        <v>27947290.992000002</v>
      </c>
      <c r="E74" s="37" t="s">
        <v>322</v>
      </c>
      <c r="F74" s="226" t="s">
        <v>537</v>
      </c>
      <c r="L74" s="227" t="s">
        <v>540</v>
      </c>
      <c r="M74" s="227"/>
      <c r="N74" s="227"/>
      <c r="O74" s="227"/>
      <c r="P74" s="227"/>
      <c r="Q74" s="227"/>
      <c r="R74" s="227"/>
      <c r="S74" s="227"/>
    </row>
    <row r="76" spans="1:19" x14ac:dyDescent="0.25">
      <c r="A76" s="544" t="s">
        <v>255</v>
      </c>
      <c r="B76" s="545"/>
      <c r="C76" s="545"/>
      <c r="D76" s="545"/>
      <c r="E76" s="546"/>
    </row>
    <row r="77" spans="1:19" x14ac:dyDescent="0.25">
      <c r="A77" s="550" t="s">
        <v>256</v>
      </c>
      <c r="B77" s="551"/>
      <c r="C77" s="552"/>
      <c r="D77" s="150">
        <v>40768</v>
      </c>
      <c r="E77" s="37" t="s">
        <v>257</v>
      </c>
      <c r="F77" s="151" t="s">
        <v>258</v>
      </c>
    </row>
    <row r="78" spans="1:19" ht="15" customHeight="1" x14ac:dyDescent="0.25">
      <c r="A78" s="550" t="s">
        <v>259</v>
      </c>
      <c r="B78" s="551"/>
      <c r="C78" s="552"/>
      <c r="D78" s="150">
        <v>20.22</v>
      </c>
      <c r="E78" s="152" t="s">
        <v>260</v>
      </c>
      <c r="F78" s="151" t="s">
        <v>258</v>
      </c>
    </row>
    <row r="79" spans="1:19" x14ac:dyDescent="0.25">
      <c r="A79" s="544" t="s">
        <v>261</v>
      </c>
      <c r="B79" s="545"/>
      <c r="C79" s="545"/>
      <c r="D79" s="545"/>
      <c r="E79" s="546"/>
    </row>
    <row r="80" spans="1:19" ht="15" customHeight="1" x14ac:dyDescent="0.25">
      <c r="A80" s="550" t="s">
        <v>124</v>
      </c>
      <c r="B80" s="551"/>
      <c r="C80" s="552"/>
      <c r="D80" s="136">
        <v>0.88</v>
      </c>
      <c r="E80" s="37"/>
      <c r="F80" t="s">
        <v>547</v>
      </c>
    </row>
    <row r="82" spans="1:5" x14ac:dyDescent="0.25">
      <c r="A82" s="544" t="s">
        <v>458</v>
      </c>
      <c r="B82" s="545"/>
      <c r="C82" s="545"/>
      <c r="D82" s="545"/>
      <c r="E82" s="546"/>
    </row>
    <row r="83" spans="1:5" x14ac:dyDescent="0.25">
      <c r="A83" s="195" t="s">
        <v>442</v>
      </c>
      <c r="B83" s="195"/>
      <c r="D83" s="199"/>
      <c r="E83" s="196"/>
    </row>
    <row r="84" spans="1:5" x14ac:dyDescent="0.25">
      <c r="A84" s="195" t="s">
        <v>443</v>
      </c>
      <c r="B84" s="195"/>
      <c r="C84" s="195"/>
      <c r="D84" s="199"/>
      <c r="E84" s="196"/>
    </row>
    <row r="85" spans="1:5" x14ac:dyDescent="0.25">
      <c r="A85" s="3" t="s">
        <v>415</v>
      </c>
      <c r="B85" s="3"/>
      <c r="D85" s="200"/>
      <c r="E85" s="69"/>
    </row>
    <row r="86" spans="1:5" x14ac:dyDescent="0.25">
      <c r="C86" s="10"/>
    </row>
  </sheetData>
  <sheetProtection password="DCA2" sheet="1" objects="1" scenarios="1"/>
  <mergeCells count="67">
    <mergeCell ref="A2:H2"/>
    <mergeCell ref="A8:E8"/>
    <mergeCell ref="A9:C9"/>
    <mergeCell ref="A12:C12"/>
    <mergeCell ref="A13:C13"/>
    <mergeCell ref="A15:E15"/>
    <mergeCell ref="A16:C16"/>
    <mergeCell ref="A17:C17"/>
    <mergeCell ref="A18:C18"/>
    <mergeCell ref="A19:C19"/>
    <mergeCell ref="A20:C20"/>
    <mergeCell ref="A21:C21"/>
    <mergeCell ref="A22:C22"/>
    <mergeCell ref="A24:E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2:E52"/>
    <mergeCell ref="A53:C53"/>
    <mergeCell ref="A54:C54"/>
    <mergeCell ref="A55:C55"/>
    <mergeCell ref="A56:C56"/>
    <mergeCell ref="A82:E82"/>
    <mergeCell ref="A80:C80"/>
    <mergeCell ref="A61:C61"/>
    <mergeCell ref="A62:C62"/>
    <mergeCell ref="A76:E76"/>
    <mergeCell ref="A77:C77"/>
    <mergeCell ref="A78:C78"/>
    <mergeCell ref="A79:E79"/>
    <mergeCell ref="A64:E64"/>
    <mergeCell ref="A65:C65"/>
    <mergeCell ref="A66:C66"/>
    <mergeCell ref="A67:C67"/>
    <mergeCell ref="A68:C68"/>
    <mergeCell ref="A69:C69"/>
    <mergeCell ref="A58:E58"/>
    <mergeCell ref="A59:C59"/>
    <mergeCell ref="A60:C60"/>
    <mergeCell ref="A73:C73"/>
    <mergeCell ref="A74:C74"/>
    <mergeCell ref="A70:C70"/>
    <mergeCell ref="A71:C71"/>
    <mergeCell ref="A72:C72"/>
  </mergeCells>
  <hyperlinks>
    <hyperlink ref="G53" r:id="rId1"/>
    <hyperlink ref="G54" r:id="rId2"/>
  </hyperlinks>
  <pageMargins left="0.7" right="0.7" top="0.75" bottom="0.75" header="0.3" footer="0.3"/>
  <pageSetup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70"/>
  <sheetViews>
    <sheetView workbookViewId="0">
      <selection activeCell="E46" sqref="E46"/>
    </sheetView>
  </sheetViews>
  <sheetFormatPr defaultRowHeight="15" x14ac:dyDescent="0.25"/>
  <cols>
    <col min="1" max="1" width="1.7109375" customWidth="1"/>
    <col min="2" max="2" width="22.28515625" customWidth="1"/>
    <col min="3" max="3" width="14.7109375" customWidth="1"/>
    <col min="4" max="4" width="27.7109375" customWidth="1"/>
    <col min="5" max="6" width="15.7109375" customWidth="1"/>
    <col min="7" max="7" width="16.7109375" customWidth="1"/>
    <col min="8" max="8" width="15.7109375" customWidth="1"/>
    <col min="9" max="9" width="40.42578125" customWidth="1"/>
    <col min="10" max="10" width="15.7109375" customWidth="1"/>
  </cols>
  <sheetData>
    <row r="1" spans="2:16" ht="26.25" x14ac:dyDescent="0.25">
      <c r="B1" s="640" t="s">
        <v>385</v>
      </c>
      <c r="C1" s="640"/>
      <c r="D1" s="640"/>
      <c r="E1" s="640"/>
      <c r="F1" s="640"/>
      <c r="G1" s="640"/>
      <c r="H1" s="640"/>
    </row>
    <row r="2" spans="2:16" ht="10.9" customHeight="1" x14ac:dyDescent="0.25">
      <c r="B2" s="197"/>
      <c r="C2" s="197"/>
      <c r="D2" s="197"/>
      <c r="E2" s="197"/>
      <c r="F2" s="197"/>
      <c r="G2" s="197"/>
      <c r="H2" s="197"/>
    </row>
    <row r="3" spans="2:16" ht="15.75" thickBot="1" x14ac:dyDescent="0.3">
      <c r="B3" s="336">
        <v>41518</v>
      </c>
      <c r="C3" s="93" t="s">
        <v>412</v>
      </c>
    </row>
    <row r="4" spans="2:16" ht="17.45" customHeight="1" x14ac:dyDescent="0.25">
      <c r="B4" s="5" t="s">
        <v>15</v>
      </c>
      <c r="C4" s="641" t="s">
        <v>262</v>
      </c>
      <c r="D4" s="641"/>
      <c r="E4" s="641"/>
      <c r="F4" s="641"/>
      <c r="G4" s="641"/>
      <c r="H4" s="641"/>
      <c r="I4" s="642"/>
    </row>
    <row r="5" spans="2:16" x14ac:dyDescent="0.25">
      <c r="B5" s="4" t="s">
        <v>0</v>
      </c>
      <c r="C5" s="643" t="s">
        <v>1</v>
      </c>
      <c r="D5" s="643"/>
      <c r="E5" s="643"/>
      <c r="F5" s="643"/>
      <c r="G5" s="643"/>
      <c r="H5" s="643"/>
      <c r="I5" s="644"/>
    </row>
    <row r="6" spans="2:16" ht="34.9" customHeight="1" thickBot="1" x14ac:dyDescent="0.3">
      <c r="B6" s="208" t="s">
        <v>13</v>
      </c>
      <c r="C6" s="645" t="s">
        <v>399</v>
      </c>
      <c r="D6" s="646"/>
      <c r="E6" s="646"/>
      <c r="F6" s="646"/>
      <c r="G6" s="646"/>
      <c r="H6" s="646"/>
      <c r="I6" s="647"/>
    </row>
    <row r="7" spans="2:16" ht="18.600000000000001" customHeight="1" x14ac:dyDescent="0.25">
      <c r="B7" s="591" t="s">
        <v>553</v>
      </c>
      <c r="C7" s="344" t="s">
        <v>414</v>
      </c>
      <c r="D7" s="344" t="s">
        <v>413</v>
      </c>
      <c r="E7" s="594" t="s">
        <v>421</v>
      </c>
      <c r="F7" s="594"/>
      <c r="G7" s="594"/>
      <c r="H7" s="594"/>
      <c r="I7" s="595"/>
      <c r="J7" s="8"/>
    </row>
    <row r="8" spans="2:16" ht="27.6" customHeight="1" x14ac:dyDescent="0.25">
      <c r="B8" s="592"/>
      <c r="C8" s="399" t="s">
        <v>442</v>
      </c>
      <c r="D8" s="343">
        <v>2014</v>
      </c>
      <c r="E8" s="596" t="s">
        <v>393</v>
      </c>
      <c r="F8" s="597"/>
      <c r="G8" s="597"/>
      <c r="H8" s="597"/>
      <c r="I8" s="598"/>
      <c r="J8" s="182"/>
    </row>
    <row r="9" spans="2:16" ht="19.149999999999999" customHeight="1" thickBot="1" x14ac:dyDescent="0.3">
      <c r="B9" s="593"/>
      <c r="C9" s="229" t="s">
        <v>442</v>
      </c>
      <c r="D9" s="181">
        <v>2014</v>
      </c>
      <c r="E9" s="599" t="s">
        <v>394</v>
      </c>
      <c r="F9" s="600"/>
      <c r="G9" s="600"/>
      <c r="H9" s="600"/>
      <c r="I9" s="601"/>
      <c r="J9" s="182"/>
    </row>
    <row r="10" spans="2:16" x14ac:dyDescent="0.25">
      <c r="C10" s="33"/>
      <c r="E10" s="8"/>
      <c r="F10" s="202"/>
      <c r="G10" s="8"/>
      <c r="J10" s="440"/>
      <c r="K10" s="440"/>
    </row>
    <row r="11" spans="2:16" ht="15.75" customHeight="1" thickBot="1" x14ac:dyDescent="0.3">
      <c r="B11" s="635" t="s">
        <v>26</v>
      </c>
      <c r="C11" s="636"/>
      <c r="D11" s="636"/>
      <c r="E11" s="8"/>
      <c r="F11" s="8"/>
      <c r="G11" s="8"/>
      <c r="H11" s="8"/>
      <c r="I11" s="8"/>
      <c r="J11" s="440"/>
      <c r="K11" s="440"/>
    </row>
    <row r="12" spans="2:16" ht="15" customHeight="1" thickBot="1" x14ac:dyDescent="0.3">
      <c r="B12" s="637" t="s">
        <v>27</v>
      </c>
      <c r="C12" s="638"/>
      <c r="D12" s="639"/>
      <c r="E12" s="358" t="s">
        <v>28</v>
      </c>
      <c r="F12" s="358" t="s">
        <v>29</v>
      </c>
      <c r="G12" s="358" t="s">
        <v>30</v>
      </c>
      <c r="H12" s="648" t="s">
        <v>395</v>
      </c>
      <c r="I12" s="649"/>
      <c r="J12" s="440"/>
      <c r="K12" s="440"/>
      <c r="L12" s="44"/>
      <c r="M12" s="44"/>
      <c r="N12" s="44"/>
      <c r="O12" s="44"/>
      <c r="P12" s="44"/>
    </row>
    <row r="13" spans="2:16" ht="30" customHeight="1" x14ac:dyDescent="0.3">
      <c r="B13" s="588" t="s">
        <v>566</v>
      </c>
      <c r="C13" s="589"/>
      <c r="D13" s="590"/>
      <c r="E13" s="347">
        <v>0</v>
      </c>
      <c r="F13" s="445" t="s">
        <v>2</v>
      </c>
      <c r="G13" s="348" t="s">
        <v>44</v>
      </c>
      <c r="H13" s="633" t="s">
        <v>507</v>
      </c>
      <c r="I13" s="634"/>
      <c r="J13" s="440"/>
      <c r="K13" s="440"/>
      <c r="L13" s="44"/>
      <c r="M13" s="44"/>
      <c r="N13" s="44"/>
      <c r="O13" s="44"/>
      <c r="P13" s="44"/>
    </row>
    <row r="14" spans="2:16" ht="30.75" customHeight="1" x14ac:dyDescent="0.25">
      <c r="B14" s="571" t="s">
        <v>567</v>
      </c>
      <c r="C14" s="572"/>
      <c r="D14" s="573"/>
      <c r="E14" s="347">
        <v>0</v>
      </c>
      <c r="F14" s="446" t="s">
        <v>2</v>
      </c>
      <c r="G14" s="346" t="s">
        <v>568</v>
      </c>
      <c r="H14" s="633" t="s">
        <v>581</v>
      </c>
      <c r="I14" s="634"/>
      <c r="J14" s="440"/>
      <c r="K14" s="440"/>
    </row>
    <row r="15" spans="2:16" ht="17.25" customHeight="1" x14ac:dyDescent="0.25">
      <c r="B15" s="571" t="s">
        <v>569</v>
      </c>
      <c r="C15" s="572"/>
      <c r="D15" s="573"/>
      <c r="E15" s="203">
        <v>0.15</v>
      </c>
      <c r="F15" s="446" t="s">
        <v>3</v>
      </c>
      <c r="G15" s="345" t="s">
        <v>33</v>
      </c>
      <c r="H15" s="633"/>
      <c r="I15" s="634"/>
      <c r="K15" s="32"/>
    </row>
    <row r="16" spans="2:16" ht="17.25" customHeight="1" x14ac:dyDescent="0.25">
      <c r="B16" s="571" t="s">
        <v>570</v>
      </c>
      <c r="C16" s="572"/>
      <c r="D16" s="573"/>
      <c r="E16" s="203">
        <v>0.15</v>
      </c>
      <c r="F16" s="446" t="s">
        <v>3</v>
      </c>
      <c r="G16" s="345" t="s">
        <v>34</v>
      </c>
      <c r="H16" s="633"/>
      <c r="I16" s="634"/>
      <c r="K16" s="32"/>
    </row>
    <row r="17" spans="2:11" ht="31.5" customHeight="1" x14ac:dyDescent="0.25">
      <c r="B17" s="571" t="s">
        <v>571</v>
      </c>
      <c r="C17" s="572"/>
      <c r="D17" s="573"/>
      <c r="E17" s="203">
        <v>0.1275</v>
      </c>
      <c r="F17" s="446" t="s">
        <v>3</v>
      </c>
      <c r="G17" s="345" t="s">
        <v>106</v>
      </c>
      <c r="H17" s="633"/>
      <c r="I17" s="634"/>
      <c r="K17" s="32"/>
    </row>
    <row r="18" spans="2:11" ht="46.5" customHeight="1" x14ac:dyDescent="0.3">
      <c r="B18" s="571" t="s">
        <v>572</v>
      </c>
      <c r="C18" s="572"/>
      <c r="D18" s="573"/>
      <c r="E18" s="203">
        <v>1</v>
      </c>
      <c r="F18" s="446" t="s">
        <v>3</v>
      </c>
      <c r="G18" s="345" t="s">
        <v>573</v>
      </c>
      <c r="H18" s="633" t="s">
        <v>578</v>
      </c>
      <c r="I18" s="634"/>
      <c r="K18" s="32"/>
    </row>
    <row r="19" spans="2:11" ht="46.5" customHeight="1" x14ac:dyDescent="0.3">
      <c r="B19" s="571" t="s">
        <v>574</v>
      </c>
      <c r="C19" s="572"/>
      <c r="D19" s="573"/>
      <c r="E19" s="203">
        <v>1</v>
      </c>
      <c r="F19" s="446" t="s">
        <v>3</v>
      </c>
      <c r="G19" s="345" t="s">
        <v>575</v>
      </c>
      <c r="H19" s="633" t="s">
        <v>578</v>
      </c>
      <c r="I19" s="634"/>
      <c r="K19" s="32"/>
    </row>
    <row r="20" spans="2:11" ht="30" customHeight="1" x14ac:dyDescent="0.3">
      <c r="B20" s="571" t="s">
        <v>576</v>
      </c>
      <c r="C20" s="572"/>
      <c r="D20" s="573"/>
      <c r="E20" s="204">
        <v>2.5688974077867375</v>
      </c>
      <c r="F20" s="446" t="s">
        <v>4</v>
      </c>
      <c r="G20" s="345" t="s">
        <v>31</v>
      </c>
      <c r="H20" s="633"/>
      <c r="I20" s="634"/>
    </row>
    <row r="21" spans="2:11" ht="28.9" x14ac:dyDescent="0.3">
      <c r="B21" s="571" t="s">
        <v>577</v>
      </c>
      <c r="C21" s="572"/>
      <c r="D21" s="573"/>
      <c r="E21" s="204">
        <v>0.296572566103602</v>
      </c>
      <c r="F21" s="446" t="s">
        <v>5</v>
      </c>
      <c r="G21" s="345" t="s">
        <v>32</v>
      </c>
      <c r="H21" s="633"/>
      <c r="I21" s="634"/>
    </row>
    <row r="22" spans="2:11" ht="15" customHeight="1" x14ac:dyDescent="0.3">
      <c r="B22" s="571" t="s">
        <v>98</v>
      </c>
      <c r="C22" s="572"/>
      <c r="D22" s="573"/>
      <c r="E22" s="204">
        <v>0.30935036423510631</v>
      </c>
      <c r="F22" s="446" t="s">
        <v>37</v>
      </c>
      <c r="G22" s="345" t="s">
        <v>40</v>
      </c>
      <c r="H22" s="633"/>
      <c r="I22" s="634"/>
    </row>
    <row r="23" spans="2:11" ht="15" customHeight="1" x14ac:dyDescent="0.3">
      <c r="B23" s="571" t="s">
        <v>107</v>
      </c>
      <c r="C23" s="572"/>
      <c r="D23" s="573"/>
      <c r="E23" s="459">
        <v>53.02</v>
      </c>
      <c r="F23" s="460" t="s">
        <v>38</v>
      </c>
      <c r="G23" s="345" t="s">
        <v>39</v>
      </c>
      <c r="H23" s="633"/>
      <c r="I23" s="634"/>
    </row>
    <row r="24" spans="2:11" ht="15" customHeight="1" thickBot="1" x14ac:dyDescent="0.35">
      <c r="B24" s="578" t="s">
        <v>124</v>
      </c>
      <c r="C24" s="579"/>
      <c r="D24" s="580"/>
      <c r="E24" s="458">
        <v>0.88</v>
      </c>
      <c r="F24" s="466"/>
      <c r="G24" s="467" t="s">
        <v>125</v>
      </c>
      <c r="H24" s="563"/>
      <c r="I24" s="564"/>
      <c r="J24" s="457"/>
      <c r="K24" s="438"/>
    </row>
    <row r="25" spans="2:11" ht="33" hidden="1" customHeight="1" x14ac:dyDescent="0.25">
      <c r="B25" s="447" t="s">
        <v>124</v>
      </c>
      <c r="C25" s="447"/>
      <c r="D25" s="447"/>
      <c r="E25" s="448">
        <v>0.88</v>
      </c>
      <c r="F25" s="447"/>
      <c r="G25" s="447" t="s">
        <v>125</v>
      </c>
      <c r="H25" s="447"/>
      <c r="I25" s="447"/>
    </row>
    <row r="26" spans="2:11" ht="31.5" hidden="1" customHeight="1" x14ac:dyDescent="0.25">
      <c r="B26" s="574" t="s">
        <v>121</v>
      </c>
      <c r="C26" s="574"/>
      <c r="D26" s="574"/>
      <c r="E26" s="574"/>
      <c r="F26" s="574"/>
      <c r="G26" s="574"/>
      <c r="H26" s="574"/>
      <c r="I26" s="574"/>
    </row>
    <row r="27" spans="2:11" ht="15.75" thickBot="1" x14ac:dyDescent="0.3">
      <c r="B27" s="32"/>
      <c r="C27" s="8"/>
      <c r="D27" s="8"/>
      <c r="E27" s="465"/>
      <c r="F27" s="8"/>
      <c r="G27" s="32"/>
      <c r="H27" s="8"/>
      <c r="I27" s="8"/>
    </row>
    <row r="28" spans="2:11" ht="15" customHeight="1" x14ac:dyDescent="0.25">
      <c r="B28" s="575" t="s">
        <v>25</v>
      </c>
      <c r="C28" s="576"/>
      <c r="D28" s="576"/>
      <c r="E28" s="576"/>
      <c r="F28" s="576"/>
      <c r="G28" s="576"/>
      <c r="H28" s="576"/>
      <c r="I28" s="577"/>
    </row>
    <row r="29" spans="2:11" ht="15" customHeight="1" x14ac:dyDescent="0.25">
      <c r="B29" s="565" t="s">
        <v>46</v>
      </c>
      <c r="C29" s="566"/>
      <c r="D29" s="566"/>
      <c r="E29" s="566"/>
      <c r="F29" s="566"/>
      <c r="G29" s="566"/>
      <c r="H29" s="566"/>
      <c r="I29" s="567"/>
    </row>
    <row r="30" spans="2:11" ht="30" customHeight="1" x14ac:dyDescent="0.25">
      <c r="B30" s="568" t="s">
        <v>97</v>
      </c>
      <c r="C30" s="569"/>
      <c r="D30" s="569"/>
      <c r="E30" s="569"/>
      <c r="F30" s="569"/>
      <c r="G30" s="569"/>
      <c r="H30" s="569"/>
      <c r="I30" s="570"/>
    </row>
    <row r="31" spans="2:11" ht="15" customHeight="1" x14ac:dyDescent="0.25">
      <c r="B31" s="568" t="s">
        <v>47</v>
      </c>
      <c r="C31" s="569"/>
      <c r="D31" s="569"/>
      <c r="E31" s="569"/>
      <c r="F31" s="569"/>
      <c r="G31" s="569"/>
      <c r="H31" s="569"/>
      <c r="I31" s="570"/>
    </row>
    <row r="32" spans="2:11" ht="15" customHeight="1" x14ac:dyDescent="0.25">
      <c r="B32" s="612" t="s">
        <v>48</v>
      </c>
      <c r="C32" s="606"/>
      <c r="D32" s="606"/>
      <c r="E32" s="606"/>
      <c r="F32" s="606"/>
      <c r="G32" s="606"/>
      <c r="H32" s="606"/>
      <c r="I32" s="613"/>
    </row>
    <row r="33" spans="2:12" ht="15" customHeight="1" thickBot="1" x14ac:dyDescent="0.3">
      <c r="B33" s="614" t="s">
        <v>49</v>
      </c>
      <c r="C33" s="615"/>
      <c r="D33" s="615"/>
      <c r="E33" s="615"/>
      <c r="F33" s="615"/>
      <c r="G33" s="615"/>
      <c r="H33" s="615"/>
      <c r="I33" s="616"/>
    </row>
    <row r="34" spans="2:12" ht="15.75" thickBot="1" x14ac:dyDescent="0.3">
      <c r="B34" s="33"/>
      <c r="C34" s="6"/>
      <c r="D34" s="6"/>
      <c r="E34" s="6"/>
      <c r="F34" s="6"/>
      <c r="G34" s="8"/>
      <c r="H34" s="8"/>
      <c r="I34" s="8"/>
      <c r="J34" s="438"/>
      <c r="K34" s="438"/>
    </row>
    <row r="35" spans="2:12" ht="94.5" customHeight="1" thickBot="1" x14ac:dyDescent="0.3">
      <c r="B35" s="351" t="s">
        <v>22</v>
      </c>
      <c r="C35" s="619" t="s">
        <v>579</v>
      </c>
      <c r="D35" s="620"/>
      <c r="E35" s="620"/>
      <c r="F35" s="620"/>
      <c r="G35" s="620"/>
      <c r="H35" s="620"/>
      <c r="I35" s="621"/>
      <c r="J35" s="449"/>
      <c r="K35" s="449"/>
    </row>
    <row r="36" spans="2:12" ht="45" customHeight="1" x14ac:dyDescent="0.25">
      <c r="B36" s="7"/>
      <c r="C36" s="617" t="s">
        <v>23</v>
      </c>
      <c r="D36" s="618"/>
      <c r="E36" s="456">
        <f>E13*(E16+E17) *E18*E20*E24</f>
        <v>0</v>
      </c>
      <c r="F36" s="436" t="s">
        <v>6</v>
      </c>
      <c r="G36" s="452"/>
      <c r="H36" s="453"/>
      <c r="I36" s="454"/>
    </row>
    <row r="37" spans="2:12" ht="45" customHeight="1" x14ac:dyDescent="0.25">
      <c r="B37" s="7"/>
      <c r="C37" s="622" t="s">
        <v>24</v>
      </c>
      <c r="D37" s="623"/>
      <c r="E37" s="461">
        <f>E13*(E15+E17)*E18*E21</f>
        <v>0</v>
      </c>
      <c r="F37" s="442" t="s">
        <v>7</v>
      </c>
      <c r="G37" s="462"/>
      <c r="H37" s="463"/>
      <c r="I37" s="464"/>
    </row>
    <row r="38" spans="2:12" ht="45" customHeight="1" x14ac:dyDescent="0.25">
      <c r="B38" s="7"/>
      <c r="C38" s="622" t="s">
        <v>580</v>
      </c>
      <c r="D38" s="623"/>
      <c r="E38" s="455">
        <f>E14*(E16+E17) *E18*E20*E24</f>
        <v>0</v>
      </c>
      <c r="F38" s="442" t="s">
        <v>6</v>
      </c>
      <c r="G38" s="462"/>
      <c r="H38" s="463"/>
      <c r="I38" s="464"/>
    </row>
    <row r="39" spans="2:12" ht="45" customHeight="1" thickBot="1" x14ac:dyDescent="0.3">
      <c r="B39" s="7"/>
      <c r="C39" s="583" t="s">
        <v>60</v>
      </c>
      <c r="D39" s="586"/>
      <c r="E39" s="159">
        <f>((E14*E15)+(E14*E17))*E18*E21</f>
        <v>0</v>
      </c>
      <c r="F39" s="437" t="s">
        <v>7</v>
      </c>
      <c r="G39" s="450"/>
      <c r="H39" s="450"/>
      <c r="I39" s="451"/>
    </row>
    <row r="40" spans="2:12" ht="15.75" thickBot="1" x14ac:dyDescent="0.3">
      <c r="C40" s="9"/>
      <c r="D40" s="9"/>
      <c r="K40" s="438"/>
      <c r="L40" s="438"/>
    </row>
    <row r="41" spans="2:12" ht="30" customHeight="1" x14ac:dyDescent="0.25">
      <c r="B41" s="351" t="s">
        <v>35</v>
      </c>
      <c r="C41" s="624" t="s">
        <v>41</v>
      </c>
      <c r="D41" s="625"/>
      <c r="E41" s="625"/>
      <c r="F41" s="625"/>
      <c r="G41" s="625"/>
      <c r="H41" s="625"/>
      <c r="I41" s="626"/>
      <c r="J41" s="44"/>
      <c r="K41" s="438"/>
      <c r="L41" s="438"/>
    </row>
    <row r="42" spans="2:12" ht="15" customHeight="1" x14ac:dyDescent="0.25">
      <c r="B42" s="7"/>
      <c r="C42" s="20" t="s">
        <v>21</v>
      </c>
      <c r="D42" s="627" t="s">
        <v>8</v>
      </c>
      <c r="E42" s="627"/>
      <c r="F42" s="627"/>
      <c r="G42" s="627"/>
      <c r="H42" s="627"/>
      <c r="I42" s="628"/>
      <c r="J42" s="439"/>
      <c r="K42" s="438"/>
      <c r="L42" s="438"/>
    </row>
    <row r="43" spans="2:12" ht="15" customHeight="1" x14ac:dyDescent="0.25">
      <c r="B43" s="7"/>
      <c r="C43" s="349" t="s">
        <v>9</v>
      </c>
      <c r="D43" s="627" t="s">
        <v>10</v>
      </c>
      <c r="E43" s="627"/>
      <c r="F43" s="627"/>
      <c r="G43" s="627"/>
      <c r="H43" s="627"/>
      <c r="I43" s="628"/>
      <c r="J43" s="44"/>
      <c r="K43" s="438"/>
      <c r="L43" s="438"/>
    </row>
    <row r="44" spans="2:12" ht="15" customHeight="1" x14ac:dyDescent="0.25">
      <c r="B44" s="7"/>
      <c r="C44" s="350">
        <v>1000</v>
      </c>
      <c r="D44" s="629" t="s">
        <v>11</v>
      </c>
      <c r="E44" s="629"/>
      <c r="F44" s="629"/>
      <c r="G44" s="629"/>
      <c r="H44" s="629"/>
      <c r="I44" s="630"/>
      <c r="J44" s="44"/>
      <c r="K44" s="438"/>
      <c r="L44" s="438"/>
    </row>
    <row r="45" spans="2:12" ht="15" customHeight="1" thickBot="1" x14ac:dyDescent="0.3">
      <c r="B45" s="7"/>
      <c r="C45" s="29">
        <v>10</v>
      </c>
      <c r="D45" s="631" t="s">
        <v>12</v>
      </c>
      <c r="E45" s="631"/>
      <c r="F45" s="631"/>
      <c r="G45" s="631"/>
      <c r="H45" s="631"/>
      <c r="I45" s="632"/>
      <c r="J45" s="468"/>
      <c r="K45" s="438"/>
      <c r="L45" s="438"/>
    </row>
    <row r="46" spans="2:12" ht="45" customHeight="1" thickBot="1" x14ac:dyDescent="0.3">
      <c r="B46" s="7"/>
      <c r="C46" s="610" t="s">
        <v>20</v>
      </c>
      <c r="D46" s="611"/>
      <c r="E46" s="441">
        <f>((E36/1000)*E22)+((E37/10)*(E23/1000))</f>
        <v>0</v>
      </c>
      <c r="F46" s="12" t="s">
        <v>72</v>
      </c>
      <c r="G46" s="12"/>
      <c r="H46" s="12"/>
      <c r="I46" s="36"/>
      <c r="J46" s="40"/>
      <c r="K46" s="40"/>
      <c r="L46" s="438"/>
    </row>
    <row r="47" spans="2:12" ht="45" customHeight="1" thickBot="1" x14ac:dyDescent="0.3">
      <c r="B47" s="7"/>
      <c r="C47" s="610" t="s">
        <v>59</v>
      </c>
      <c r="D47" s="611"/>
      <c r="E47" s="441">
        <f>((E38/1000)*E22)+((E39/10)*(E23/1000))</f>
        <v>0</v>
      </c>
      <c r="F47" s="12" t="s">
        <v>72</v>
      </c>
      <c r="G47" s="35"/>
      <c r="H47" s="12"/>
      <c r="I47" s="36"/>
      <c r="J47" s="40"/>
      <c r="K47" s="40"/>
      <c r="L47" s="438"/>
    </row>
    <row r="48" spans="2:12" x14ac:dyDescent="0.25">
      <c r="C48" s="8"/>
      <c r="D48" s="8"/>
      <c r="E48" s="9"/>
      <c r="F48" s="9"/>
      <c r="G48" s="8"/>
      <c r="H48" s="9"/>
      <c r="I48" s="8"/>
    </row>
    <row r="49" spans="1:9" ht="15.75" hidden="1" thickBot="1" x14ac:dyDescent="0.3">
      <c r="A49" s="8"/>
      <c r="B49" s="39"/>
      <c r="C49" s="39"/>
      <c r="D49" s="39"/>
      <c r="E49" s="39"/>
      <c r="F49" s="39"/>
      <c r="G49" s="39"/>
      <c r="H49" s="39"/>
      <c r="I49" s="39"/>
    </row>
    <row r="50" spans="1:9" hidden="1" x14ac:dyDescent="0.25">
      <c r="A50" s="8"/>
      <c r="C50" s="8"/>
      <c r="D50" s="8"/>
      <c r="E50" s="8"/>
      <c r="F50" s="8"/>
      <c r="G50" s="8"/>
      <c r="H50" s="8"/>
      <c r="I50" s="8"/>
    </row>
    <row r="51" spans="1:9" hidden="1" x14ac:dyDescent="0.25">
      <c r="C51" s="8"/>
      <c r="D51" s="8"/>
      <c r="E51" s="8"/>
      <c r="F51" s="8"/>
      <c r="G51" s="8"/>
      <c r="H51" s="8"/>
      <c r="I51" s="8"/>
    </row>
    <row r="52" spans="1:9" ht="15.75" hidden="1" customHeight="1" x14ac:dyDescent="0.25">
      <c r="B52" s="602" t="s">
        <v>14</v>
      </c>
      <c r="C52" s="603"/>
      <c r="D52" s="603"/>
      <c r="E52" s="104"/>
      <c r="F52" s="104"/>
      <c r="G52" s="97"/>
      <c r="H52" s="8"/>
      <c r="I52" s="8"/>
    </row>
    <row r="53" spans="1:9" ht="15" hidden="1" customHeight="1" x14ac:dyDescent="0.25">
      <c r="B53" s="19" t="s">
        <v>27</v>
      </c>
      <c r="C53" s="24"/>
      <c r="D53" s="24"/>
      <c r="E53" s="23" t="s">
        <v>28</v>
      </c>
      <c r="F53" s="17" t="s">
        <v>29</v>
      </c>
      <c r="G53" s="16" t="s">
        <v>30</v>
      </c>
      <c r="H53" s="8"/>
      <c r="I53" s="8"/>
    </row>
    <row r="54" spans="1:9" hidden="1" x14ac:dyDescent="0.25">
      <c r="B54" s="550" t="s">
        <v>91</v>
      </c>
      <c r="C54" s="551"/>
      <c r="D54" s="552"/>
      <c r="E54" s="154">
        <v>20.22</v>
      </c>
      <c r="F54" s="37" t="s">
        <v>52</v>
      </c>
      <c r="G54" s="15"/>
      <c r="H54" s="8"/>
      <c r="I54" s="8"/>
    </row>
    <row r="55" spans="1:9" ht="15" hidden="1" customHeight="1" x14ac:dyDescent="0.25">
      <c r="B55" s="550" t="s">
        <v>92</v>
      </c>
      <c r="C55" s="551"/>
      <c r="D55" s="552"/>
      <c r="E55" s="154">
        <v>40768</v>
      </c>
      <c r="F55" s="37" t="s">
        <v>52</v>
      </c>
      <c r="G55" s="14"/>
      <c r="H55" s="8"/>
      <c r="I55" s="8"/>
    </row>
    <row r="56" spans="1:9" hidden="1" x14ac:dyDescent="0.25">
      <c r="B56" s="550" t="s">
        <v>93</v>
      </c>
      <c r="C56" s="551"/>
      <c r="D56" s="552"/>
      <c r="E56" s="155">
        <v>0.1</v>
      </c>
      <c r="F56" s="30"/>
      <c r="G56" s="14"/>
      <c r="H56" s="8"/>
      <c r="I56" s="8"/>
    </row>
    <row r="57" spans="1:9" hidden="1" x14ac:dyDescent="0.25">
      <c r="B57" s="550" t="s">
        <v>94</v>
      </c>
      <c r="C57" s="551"/>
      <c r="D57" s="552"/>
      <c r="E57" s="155">
        <v>0.5</v>
      </c>
      <c r="F57" s="30"/>
      <c r="G57" s="15"/>
      <c r="H57" s="8"/>
      <c r="I57" s="8"/>
    </row>
    <row r="58" spans="1:9" hidden="1" x14ac:dyDescent="0.25">
      <c r="G58" s="10"/>
    </row>
    <row r="59" spans="1:9" hidden="1" x14ac:dyDescent="0.25">
      <c r="B59" s="3"/>
      <c r="C59" s="3"/>
      <c r="D59" s="3"/>
      <c r="E59" s="3"/>
      <c r="F59" s="3"/>
      <c r="G59" s="3"/>
      <c r="H59" s="3"/>
      <c r="I59" s="3"/>
    </row>
    <row r="60" spans="1:9" ht="15.75" hidden="1" x14ac:dyDescent="0.25">
      <c r="B60" s="602" t="s">
        <v>51</v>
      </c>
      <c r="C60" s="603"/>
      <c r="D60" s="603"/>
      <c r="E60" s="603"/>
      <c r="F60" s="603"/>
      <c r="G60" s="603"/>
      <c r="H60" s="603"/>
      <c r="I60" s="604"/>
    </row>
    <row r="61" spans="1:9" hidden="1" x14ac:dyDescent="0.25">
      <c r="B61" s="605"/>
      <c r="C61" s="606"/>
      <c r="D61" s="606"/>
      <c r="E61" s="606"/>
      <c r="F61" s="606"/>
      <c r="G61" s="606"/>
      <c r="H61" s="606"/>
      <c r="I61" s="607"/>
    </row>
    <row r="62" spans="1:9" hidden="1" x14ac:dyDescent="0.25">
      <c r="B62" s="608"/>
      <c r="C62" s="566"/>
      <c r="D62" s="566"/>
      <c r="E62" s="566"/>
      <c r="F62" s="566"/>
      <c r="G62" s="566"/>
      <c r="H62" s="566"/>
      <c r="I62" s="609"/>
    </row>
    <row r="63" spans="1:9" hidden="1" x14ac:dyDescent="0.25">
      <c r="B63" s="605"/>
      <c r="C63" s="606"/>
      <c r="D63" s="606"/>
      <c r="E63" s="606"/>
      <c r="F63" s="606"/>
      <c r="G63" s="606"/>
      <c r="H63" s="606"/>
      <c r="I63" s="607"/>
    </row>
    <row r="64" spans="1:9" hidden="1" x14ac:dyDescent="0.25"/>
    <row r="65" spans="2:9" hidden="1" x14ac:dyDescent="0.25"/>
    <row r="66" spans="2:9" ht="15.75" hidden="1" customHeight="1" thickBot="1" x14ac:dyDescent="0.3">
      <c r="B66" s="25" t="s">
        <v>36</v>
      </c>
      <c r="C66" s="581" t="s">
        <v>120</v>
      </c>
      <c r="D66" s="581"/>
      <c r="E66" s="581"/>
      <c r="F66" s="581"/>
      <c r="G66" s="581"/>
      <c r="H66" s="581"/>
      <c r="I66" s="22"/>
    </row>
    <row r="67" spans="2:9" hidden="1" x14ac:dyDescent="0.25">
      <c r="B67" s="7"/>
      <c r="C67" s="582" t="s">
        <v>42</v>
      </c>
      <c r="D67" s="9"/>
      <c r="E67" s="585"/>
      <c r="F67" s="12"/>
      <c r="G67" s="12"/>
      <c r="H67" s="12"/>
      <c r="I67" s="11"/>
    </row>
    <row r="68" spans="2:9" hidden="1" x14ac:dyDescent="0.25">
      <c r="B68" s="7"/>
      <c r="C68" s="583"/>
      <c r="D68" s="156">
        <f>(E56*E55)+(E55*E57/8)</f>
        <v>6624.8</v>
      </c>
      <c r="E68" s="586"/>
      <c r="F68" s="40"/>
      <c r="G68" s="40"/>
      <c r="H68" s="40"/>
      <c r="I68" s="41"/>
    </row>
    <row r="69" spans="2:9" ht="15.75" hidden="1" thickBot="1" x14ac:dyDescent="0.3">
      <c r="B69" s="7"/>
      <c r="C69" s="584"/>
      <c r="D69" s="67"/>
      <c r="E69" s="587"/>
      <c r="F69" s="42"/>
      <c r="G69" s="42"/>
      <c r="H69" s="42"/>
      <c r="I69" s="43"/>
    </row>
    <row r="70" spans="2:9" hidden="1" x14ac:dyDescent="0.25"/>
  </sheetData>
  <sheetProtection password="DCA2" sheet="1" objects="1" scenarios="1"/>
  <mergeCells count="66">
    <mergeCell ref="B11:D11"/>
    <mergeCell ref="B12:D12"/>
    <mergeCell ref="B14:D14"/>
    <mergeCell ref="B15:D15"/>
    <mergeCell ref="B1:H1"/>
    <mergeCell ref="C4:I4"/>
    <mergeCell ref="C5:I5"/>
    <mergeCell ref="C6:I6"/>
    <mergeCell ref="H12:I12"/>
    <mergeCell ref="H14:I14"/>
    <mergeCell ref="H15:I15"/>
    <mergeCell ref="H13:I13"/>
    <mergeCell ref="H21:I21"/>
    <mergeCell ref="H22:I22"/>
    <mergeCell ref="H23:I23"/>
    <mergeCell ref="H16:I16"/>
    <mergeCell ref="H17:I17"/>
    <mergeCell ref="H18:I18"/>
    <mergeCell ref="H19:I19"/>
    <mergeCell ref="H20:I20"/>
    <mergeCell ref="B18:D18"/>
    <mergeCell ref="B16:D16"/>
    <mergeCell ref="B19:D19"/>
    <mergeCell ref="B20:D20"/>
    <mergeCell ref="B21:D21"/>
    <mergeCell ref="B17:D17"/>
    <mergeCell ref="B54:D54"/>
    <mergeCell ref="B55:D55"/>
    <mergeCell ref="B31:I31"/>
    <mergeCell ref="B32:I32"/>
    <mergeCell ref="B33:I33"/>
    <mergeCell ref="C36:D36"/>
    <mergeCell ref="C39:D39"/>
    <mergeCell ref="C35:I35"/>
    <mergeCell ref="C37:D37"/>
    <mergeCell ref="C38:D38"/>
    <mergeCell ref="C47:D47"/>
    <mergeCell ref="C41:I41"/>
    <mergeCell ref="D42:I42"/>
    <mergeCell ref="D43:I43"/>
    <mergeCell ref="D44:I44"/>
    <mergeCell ref="D45:I45"/>
    <mergeCell ref="C66:H66"/>
    <mergeCell ref="C67:C69"/>
    <mergeCell ref="E67:E69"/>
    <mergeCell ref="B13:D13"/>
    <mergeCell ref="B7:B9"/>
    <mergeCell ref="E7:I7"/>
    <mergeCell ref="E8:I8"/>
    <mergeCell ref="E9:I9"/>
    <mergeCell ref="B56:D56"/>
    <mergeCell ref="B57:D57"/>
    <mergeCell ref="B60:I60"/>
    <mergeCell ref="B61:I61"/>
    <mergeCell ref="B62:I62"/>
    <mergeCell ref="B63:I63"/>
    <mergeCell ref="C46:D46"/>
    <mergeCell ref="B52:D52"/>
    <mergeCell ref="H24:I24"/>
    <mergeCell ref="B29:I29"/>
    <mergeCell ref="B30:I30"/>
    <mergeCell ref="B22:D22"/>
    <mergeCell ref="B23:D23"/>
    <mergeCell ref="B26:I26"/>
    <mergeCell ref="B28:I28"/>
    <mergeCell ref="B24:D24"/>
  </mergeCells>
  <dataValidations count="1">
    <dataValidation type="list" allowBlank="1" showInputMessage="1" showErrorMessage="1" sqref="C8:C9">
      <formula1>ImpOptions</formula1>
    </dataValidation>
  </dataValidations>
  <pageMargins left="0.7" right="0.7" top="0.75" bottom="0.75" header="0.3" footer="0.3"/>
  <pageSetup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66"/>
  <sheetViews>
    <sheetView zoomScaleNormal="100" workbookViewId="0">
      <selection activeCell="B3" sqref="B3"/>
    </sheetView>
  </sheetViews>
  <sheetFormatPr defaultColWidth="9.140625" defaultRowHeight="15" x14ac:dyDescent="0.25"/>
  <cols>
    <col min="1" max="1" width="2.140625" style="233" customWidth="1"/>
    <col min="2" max="2" width="21.5703125" style="233" customWidth="1"/>
    <col min="3" max="3" width="12" style="233" customWidth="1"/>
    <col min="4" max="4" width="17.7109375" style="233" customWidth="1"/>
    <col min="5" max="5" width="13" style="233" customWidth="1"/>
    <col min="6" max="6" width="15.7109375" style="233" customWidth="1"/>
    <col min="7" max="7" width="16.7109375" style="233" customWidth="1"/>
    <col min="8" max="10" width="15.7109375" style="233" customWidth="1"/>
    <col min="11" max="11" width="22.5703125" style="233" customWidth="1"/>
    <col min="12" max="15" width="15.7109375" style="233" customWidth="1"/>
    <col min="16" max="16384" width="9.140625" style="233"/>
  </cols>
  <sheetData>
    <row r="1" spans="2:18" ht="26.25" x14ac:dyDescent="0.25">
      <c r="B1" s="706" t="s">
        <v>386</v>
      </c>
      <c r="C1" s="706"/>
      <c r="D1" s="706"/>
      <c r="E1" s="706"/>
      <c r="F1" s="706"/>
      <c r="G1" s="706"/>
      <c r="H1" s="706"/>
      <c r="I1" s="706"/>
      <c r="J1" s="706"/>
    </row>
    <row r="2" spans="2:18" ht="11.45" customHeight="1" x14ac:dyDescent="0.25">
      <c r="B2" s="234"/>
      <c r="C2" s="234"/>
      <c r="D2" s="234"/>
      <c r="E2" s="234"/>
      <c r="F2" s="234"/>
      <c r="G2" s="234"/>
      <c r="H2" s="234"/>
      <c r="I2" s="234"/>
      <c r="J2" s="234"/>
    </row>
    <row r="3" spans="2:18" ht="15.75" thickBot="1" x14ac:dyDescent="0.3">
      <c r="B3" s="336">
        <v>41613</v>
      </c>
      <c r="C3" s="235" t="s">
        <v>412</v>
      </c>
    </row>
    <row r="4" spans="2:18" ht="18.600000000000001" customHeight="1" x14ac:dyDescent="0.25">
      <c r="B4" s="371" t="s">
        <v>15</v>
      </c>
      <c r="C4" s="724" t="s">
        <v>265</v>
      </c>
      <c r="D4" s="725"/>
      <c r="E4" s="725"/>
      <c r="F4" s="725"/>
      <c r="G4" s="725"/>
      <c r="H4" s="725"/>
      <c r="I4" s="725"/>
      <c r="J4" s="656"/>
      <c r="K4" s="657"/>
    </row>
    <row r="5" spans="2:18" x14ac:dyDescent="0.25">
      <c r="B5" s="372" t="s">
        <v>0</v>
      </c>
      <c r="C5" s="669" t="s">
        <v>1</v>
      </c>
      <c r="D5" s="669"/>
      <c r="E5" s="669"/>
      <c r="F5" s="669"/>
      <c r="G5" s="669"/>
      <c r="H5" s="669"/>
      <c r="I5" s="669"/>
      <c r="J5" s="669"/>
      <c r="K5" s="670"/>
    </row>
    <row r="6" spans="2:18" ht="43.5" customHeight="1" thickBot="1" x14ac:dyDescent="0.3">
      <c r="B6" s="373" t="s">
        <v>13</v>
      </c>
      <c r="C6" s="707" t="s">
        <v>400</v>
      </c>
      <c r="D6" s="708"/>
      <c r="E6" s="708"/>
      <c r="F6" s="708"/>
      <c r="G6" s="708"/>
      <c r="H6" s="708"/>
      <c r="I6" s="708"/>
      <c r="J6" s="708"/>
      <c r="K6" s="709"/>
    </row>
    <row r="7" spans="2:18" ht="18" customHeight="1" x14ac:dyDescent="0.25">
      <c r="B7" s="714" t="s">
        <v>553</v>
      </c>
      <c r="C7" s="240" t="s">
        <v>414</v>
      </c>
      <c r="D7" s="240" t="s">
        <v>413</v>
      </c>
      <c r="E7" s="717" t="s">
        <v>421</v>
      </c>
      <c r="F7" s="718"/>
      <c r="G7" s="718"/>
      <c r="H7" s="718"/>
      <c r="I7" s="718"/>
      <c r="J7" s="718"/>
      <c r="K7" s="719"/>
    </row>
    <row r="8" spans="2:18" ht="19.149999999999999" customHeight="1" x14ac:dyDescent="0.25">
      <c r="B8" s="715"/>
      <c r="C8" s="228" t="s">
        <v>442</v>
      </c>
      <c r="D8" s="370">
        <v>2014</v>
      </c>
      <c r="E8" s="710" t="s">
        <v>396</v>
      </c>
      <c r="F8" s="711"/>
      <c r="G8" s="711"/>
      <c r="H8" s="711"/>
      <c r="I8" s="711"/>
      <c r="J8" s="711"/>
      <c r="K8" s="712"/>
    </row>
    <row r="9" spans="2:18" ht="27" customHeight="1" x14ac:dyDescent="0.25">
      <c r="B9" s="715"/>
      <c r="C9" s="228" t="s">
        <v>442</v>
      </c>
      <c r="D9" s="241">
        <v>2014</v>
      </c>
      <c r="E9" s="596" t="s">
        <v>397</v>
      </c>
      <c r="F9" s="720"/>
      <c r="G9" s="720"/>
      <c r="H9" s="720"/>
      <c r="I9" s="720"/>
      <c r="J9" s="720"/>
      <c r="K9" s="721"/>
    </row>
    <row r="10" spans="2:18" ht="19.899999999999999" customHeight="1" x14ac:dyDescent="0.25">
      <c r="B10" s="715"/>
      <c r="C10" s="228" t="s">
        <v>442</v>
      </c>
      <c r="D10" s="241">
        <v>2014</v>
      </c>
      <c r="E10" s="596" t="s">
        <v>398</v>
      </c>
      <c r="F10" s="720"/>
      <c r="G10" s="720"/>
      <c r="H10" s="720"/>
      <c r="I10" s="720"/>
      <c r="J10" s="720"/>
      <c r="K10" s="721"/>
    </row>
    <row r="11" spans="2:18" ht="28.9" customHeight="1" x14ac:dyDescent="0.25">
      <c r="B11" s="715"/>
      <c r="C11" s="228" t="s">
        <v>442</v>
      </c>
      <c r="D11" s="241">
        <v>2014</v>
      </c>
      <c r="E11" s="596" t="s">
        <v>603</v>
      </c>
      <c r="F11" s="720"/>
      <c r="G11" s="720"/>
      <c r="H11" s="720"/>
      <c r="I11" s="720"/>
      <c r="J11" s="720"/>
      <c r="K11" s="721"/>
    </row>
    <row r="12" spans="2:18" ht="29.45" customHeight="1" thickBot="1" x14ac:dyDescent="0.3">
      <c r="B12" s="716"/>
      <c r="C12" s="232" t="s">
        <v>443</v>
      </c>
      <c r="D12" s="242">
        <v>2014</v>
      </c>
      <c r="E12" s="599" t="s">
        <v>602</v>
      </c>
      <c r="F12" s="722"/>
      <c r="G12" s="722"/>
      <c r="H12" s="722"/>
      <c r="I12" s="722"/>
      <c r="J12" s="722"/>
      <c r="K12" s="723"/>
    </row>
    <row r="13" spans="2:18" x14ac:dyDescent="0.25">
      <c r="C13" s="198"/>
      <c r="F13" s="33"/>
    </row>
    <row r="14" spans="2:18" x14ac:dyDescent="0.25">
      <c r="C14" s="33"/>
      <c r="E14" s="246"/>
      <c r="F14" s="202"/>
      <c r="G14" s="246"/>
    </row>
    <row r="15" spans="2:18" ht="15.75" customHeight="1" thickBot="1" x14ac:dyDescent="0.3">
      <c r="B15" s="713" t="s">
        <v>26</v>
      </c>
      <c r="C15" s="713"/>
      <c r="D15" s="713"/>
      <c r="E15" s="246"/>
      <c r="F15" s="246"/>
      <c r="G15" s="246"/>
      <c r="H15" s="246"/>
      <c r="I15" s="246"/>
      <c r="J15" s="246"/>
      <c r="K15" s="246"/>
    </row>
    <row r="16" spans="2:18" ht="15" customHeight="1" thickBot="1" x14ac:dyDescent="0.3">
      <c r="B16" s="726" t="s">
        <v>27</v>
      </c>
      <c r="C16" s="727"/>
      <c r="D16" s="728"/>
      <c r="E16" s="356" t="s">
        <v>28</v>
      </c>
      <c r="F16" s="356" t="s">
        <v>29</v>
      </c>
      <c r="G16" s="357" t="s">
        <v>30</v>
      </c>
      <c r="H16" s="638" t="s">
        <v>395</v>
      </c>
      <c r="I16" s="653"/>
      <c r="J16" s="653"/>
      <c r="K16" s="654"/>
      <c r="L16" s="250"/>
      <c r="M16" s="250"/>
      <c r="N16" s="250"/>
      <c r="O16" s="250"/>
      <c r="P16" s="250"/>
      <c r="Q16" s="250"/>
      <c r="R16" s="250"/>
    </row>
    <row r="17" spans="2:17" ht="32.25" customHeight="1" x14ac:dyDescent="0.25">
      <c r="B17" s="729" t="s">
        <v>501</v>
      </c>
      <c r="C17" s="730"/>
      <c r="D17" s="730"/>
      <c r="E17" s="347">
        <v>0</v>
      </c>
      <c r="F17" s="355" t="s">
        <v>63</v>
      </c>
      <c r="G17" s="313" t="s">
        <v>266</v>
      </c>
      <c r="H17" s="655" t="s">
        <v>506</v>
      </c>
      <c r="I17" s="656"/>
      <c r="J17" s="656"/>
      <c r="K17" s="657"/>
    </row>
    <row r="18" spans="2:17" ht="17.25" customHeight="1" x14ac:dyDescent="0.25">
      <c r="B18" s="699" t="s">
        <v>267</v>
      </c>
      <c r="C18" s="700"/>
      <c r="D18" s="700"/>
      <c r="E18" s="254">
        <v>0.1</v>
      </c>
      <c r="F18" s="251" t="s">
        <v>65</v>
      </c>
      <c r="G18" s="256" t="s">
        <v>31</v>
      </c>
      <c r="H18" s="650"/>
      <c r="I18" s="651"/>
      <c r="J18" s="651"/>
      <c r="K18" s="652"/>
      <c r="L18" s="250"/>
      <c r="M18" s="250"/>
      <c r="N18" s="250"/>
      <c r="O18" s="250"/>
      <c r="P18" s="250"/>
    </row>
    <row r="19" spans="2:17" ht="17.25" customHeight="1" x14ac:dyDescent="0.3">
      <c r="B19" s="699" t="s">
        <v>268</v>
      </c>
      <c r="C19" s="700"/>
      <c r="D19" s="700"/>
      <c r="E19" s="254">
        <v>0.25</v>
      </c>
      <c r="F19" s="251" t="s">
        <v>65</v>
      </c>
      <c r="G19" s="256" t="s">
        <v>32</v>
      </c>
      <c r="H19" s="650"/>
      <c r="I19" s="651"/>
      <c r="J19" s="651"/>
      <c r="K19" s="652"/>
      <c r="L19" s="250"/>
      <c r="M19" s="250"/>
      <c r="N19" s="250"/>
      <c r="O19" s="250"/>
      <c r="P19" s="250"/>
    </row>
    <row r="20" spans="2:17" ht="33" customHeight="1" x14ac:dyDescent="0.3">
      <c r="B20" s="697" t="s">
        <v>263</v>
      </c>
      <c r="C20" s="698"/>
      <c r="D20" s="698"/>
      <c r="E20" s="257">
        <f>'Common Factors'!D59</f>
        <v>2.5688974077867375</v>
      </c>
      <c r="F20" s="251" t="s">
        <v>4</v>
      </c>
      <c r="G20" s="256" t="s">
        <v>269</v>
      </c>
      <c r="H20" s="650"/>
      <c r="I20" s="651"/>
      <c r="J20" s="651"/>
      <c r="K20" s="652"/>
      <c r="Q20" s="246"/>
    </row>
    <row r="21" spans="2:17" ht="30" customHeight="1" x14ac:dyDescent="0.3">
      <c r="B21" s="697" t="s">
        <v>264</v>
      </c>
      <c r="C21" s="698"/>
      <c r="D21" s="698"/>
      <c r="E21" s="257">
        <f>'Common Factors'!D60</f>
        <v>0.296572566103602</v>
      </c>
      <c r="F21" s="251" t="s">
        <v>5</v>
      </c>
      <c r="G21" s="256" t="s">
        <v>270</v>
      </c>
      <c r="H21" s="650"/>
      <c r="I21" s="651"/>
      <c r="J21" s="651"/>
      <c r="K21" s="652"/>
    </row>
    <row r="22" spans="2:17" ht="15" customHeight="1" x14ac:dyDescent="0.3">
      <c r="B22" s="699" t="s">
        <v>98</v>
      </c>
      <c r="C22" s="700"/>
      <c r="D22" s="700"/>
      <c r="E22" s="257">
        <f>'Common Factors'!D17</f>
        <v>0.30935036423510631</v>
      </c>
      <c r="F22" s="251" t="s">
        <v>37</v>
      </c>
      <c r="G22" s="256" t="s">
        <v>40</v>
      </c>
      <c r="H22" s="650"/>
      <c r="I22" s="651"/>
      <c r="J22" s="651"/>
      <c r="K22" s="652"/>
    </row>
    <row r="23" spans="2:17" ht="15" customHeight="1" x14ac:dyDescent="0.3">
      <c r="B23" s="699" t="s">
        <v>107</v>
      </c>
      <c r="C23" s="700"/>
      <c r="D23" s="700"/>
      <c r="E23" s="257">
        <f>'Common Factors'!D20</f>
        <v>53.02</v>
      </c>
      <c r="F23" s="251" t="s">
        <v>38</v>
      </c>
      <c r="G23" s="256" t="s">
        <v>39</v>
      </c>
      <c r="H23" s="650"/>
      <c r="I23" s="651"/>
      <c r="J23" s="651"/>
      <c r="K23" s="652"/>
    </row>
    <row r="24" spans="2:17" ht="15" customHeight="1" thickBot="1" x14ac:dyDescent="0.35">
      <c r="B24" s="701" t="s">
        <v>124</v>
      </c>
      <c r="C24" s="702"/>
      <c r="D24" s="702"/>
      <c r="E24" s="352">
        <f>'Common Factors'!D80</f>
        <v>0.88</v>
      </c>
      <c r="F24" s="353"/>
      <c r="G24" s="354" t="s">
        <v>125</v>
      </c>
      <c r="H24" s="703"/>
      <c r="I24" s="704"/>
      <c r="J24" s="704"/>
      <c r="K24" s="705"/>
    </row>
    <row r="25" spans="2:17" ht="6" customHeight="1" x14ac:dyDescent="0.3">
      <c r="B25" s="258"/>
      <c r="C25" s="258"/>
      <c r="D25" s="258"/>
      <c r="E25" s="259"/>
      <c r="F25" s="260"/>
      <c r="G25" s="261"/>
      <c r="I25" s="33"/>
    </row>
    <row r="26" spans="2:17" ht="15" customHeight="1" x14ac:dyDescent="0.3">
      <c r="B26" s="246" t="s">
        <v>271</v>
      </c>
      <c r="C26" s="258"/>
      <c r="D26" s="258"/>
      <c r="E26" s="259"/>
      <c r="F26" s="260"/>
      <c r="G26" s="261"/>
      <c r="I26" s="33"/>
    </row>
    <row r="27" spans="2:17" ht="14.45" x14ac:dyDescent="0.3">
      <c r="B27" s="262"/>
      <c r="C27" s="243"/>
      <c r="D27" s="263"/>
      <c r="E27" s="263"/>
      <c r="F27" s="263"/>
      <c r="G27" s="263"/>
      <c r="H27" s="263"/>
      <c r="I27" s="263"/>
      <c r="J27" s="263"/>
      <c r="K27" s="263"/>
      <c r="L27" s="246"/>
    </row>
    <row r="28" spans="2:17" ht="15" customHeight="1" x14ac:dyDescent="0.3">
      <c r="B28" s="674" t="s">
        <v>25</v>
      </c>
      <c r="C28" s="675"/>
      <c r="D28" s="675"/>
      <c r="E28" s="675"/>
      <c r="F28" s="675"/>
      <c r="G28" s="675"/>
      <c r="H28" s="675"/>
      <c r="I28" s="675"/>
      <c r="J28" s="675"/>
      <c r="K28" s="688"/>
    </row>
    <row r="29" spans="2:17" ht="15" customHeight="1" x14ac:dyDescent="0.25">
      <c r="B29" s="661" t="s">
        <v>45</v>
      </c>
      <c r="C29" s="662"/>
      <c r="D29" s="662"/>
      <c r="E29" s="662"/>
      <c r="F29" s="662"/>
      <c r="G29" s="662"/>
      <c r="H29" s="662"/>
      <c r="I29" s="662"/>
      <c r="J29" s="662"/>
      <c r="K29" s="663"/>
    </row>
    <row r="30" spans="2:17" ht="15" customHeight="1" x14ac:dyDescent="0.25">
      <c r="B30" s="658" t="s">
        <v>50</v>
      </c>
      <c r="C30" s="659"/>
      <c r="D30" s="659"/>
      <c r="E30" s="659"/>
      <c r="F30" s="659"/>
      <c r="G30" s="659"/>
      <c r="H30" s="659"/>
      <c r="I30" s="659"/>
      <c r="J30" s="659"/>
      <c r="K30" s="660"/>
    </row>
    <row r="31" spans="2:17" ht="15" customHeight="1" x14ac:dyDescent="0.25">
      <c r="B31" s="661" t="s">
        <v>272</v>
      </c>
      <c r="C31" s="662"/>
      <c r="D31" s="662"/>
      <c r="E31" s="662"/>
      <c r="F31" s="662"/>
      <c r="G31" s="662"/>
      <c r="H31" s="662"/>
      <c r="I31" s="662"/>
      <c r="J31" s="662"/>
      <c r="K31" s="663"/>
    </row>
    <row r="32" spans="2:17" ht="15.75" thickBot="1" x14ac:dyDescent="0.3"/>
    <row r="33" spans="1:15" ht="60" customHeight="1" thickBot="1" x14ac:dyDescent="0.3">
      <c r="B33" s="365" t="s">
        <v>22</v>
      </c>
      <c r="C33" s="694" t="s">
        <v>450</v>
      </c>
      <c r="D33" s="695"/>
      <c r="E33" s="695"/>
      <c r="F33" s="695"/>
      <c r="G33" s="696"/>
      <c r="H33" s="258"/>
      <c r="I33" s="258"/>
      <c r="J33" s="258"/>
      <c r="K33" s="258"/>
      <c r="N33" s="246"/>
      <c r="O33" s="246"/>
    </row>
    <row r="34" spans="1:15" ht="45" customHeight="1" x14ac:dyDescent="0.25">
      <c r="B34" s="265"/>
      <c r="C34" s="689" t="s">
        <v>273</v>
      </c>
      <c r="D34" s="690"/>
      <c r="E34" s="266">
        <f>E18*E17*E20*E24</f>
        <v>0</v>
      </c>
      <c r="F34" s="267" t="s">
        <v>55</v>
      </c>
      <c r="G34" s="295"/>
      <c r="H34" s="691"/>
      <c r="I34" s="691"/>
      <c r="J34" s="691"/>
      <c r="K34" s="691"/>
      <c r="L34" s="255"/>
      <c r="M34" s="255"/>
      <c r="N34" s="268"/>
      <c r="O34" s="269"/>
    </row>
    <row r="35" spans="1:15" ht="45" customHeight="1" thickBot="1" x14ac:dyDescent="0.3">
      <c r="B35" s="265"/>
      <c r="C35" s="692" t="s">
        <v>274</v>
      </c>
      <c r="D35" s="693"/>
      <c r="E35" s="307">
        <f>E19*E17*E21</f>
        <v>0</v>
      </c>
      <c r="F35" s="306" t="s">
        <v>56</v>
      </c>
      <c r="G35" s="271"/>
      <c r="H35" s="691"/>
      <c r="I35" s="691"/>
      <c r="J35" s="691"/>
      <c r="K35" s="691"/>
      <c r="L35" s="255"/>
      <c r="M35" s="255"/>
      <c r="N35" s="268"/>
      <c r="O35" s="269"/>
    </row>
    <row r="36" spans="1:15" ht="15.75" thickBot="1" x14ac:dyDescent="0.3"/>
    <row r="37" spans="1:15" ht="30" customHeight="1" x14ac:dyDescent="0.25">
      <c r="B37" s="365" t="s">
        <v>35</v>
      </c>
      <c r="C37" s="679" t="s">
        <v>41</v>
      </c>
      <c r="D37" s="680"/>
      <c r="E37" s="680"/>
      <c r="F37" s="680"/>
      <c r="G37" s="680"/>
      <c r="H37" s="680"/>
      <c r="I37" s="680"/>
      <c r="J37" s="681"/>
      <c r="K37" s="246"/>
    </row>
    <row r="38" spans="1:15" ht="15" customHeight="1" x14ac:dyDescent="0.25">
      <c r="B38" s="274"/>
      <c r="C38" s="275" t="s">
        <v>21</v>
      </c>
      <c r="D38" s="666" t="s">
        <v>8</v>
      </c>
      <c r="E38" s="682"/>
      <c r="F38" s="682"/>
      <c r="G38" s="682"/>
      <c r="H38" s="682"/>
      <c r="I38" s="682"/>
      <c r="J38" s="683"/>
      <c r="K38" s="246"/>
    </row>
    <row r="39" spans="1:15" ht="15" customHeight="1" x14ac:dyDescent="0.25">
      <c r="B39" s="274"/>
      <c r="C39" s="367" t="s">
        <v>9</v>
      </c>
      <c r="D39" s="666" t="s">
        <v>10</v>
      </c>
      <c r="E39" s="666"/>
      <c r="F39" s="666"/>
      <c r="G39" s="666"/>
      <c r="H39" s="666"/>
      <c r="I39" s="666"/>
      <c r="J39" s="667"/>
      <c r="K39" s="246"/>
    </row>
    <row r="40" spans="1:15" ht="15" customHeight="1" x14ac:dyDescent="0.25">
      <c r="B40" s="274"/>
      <c r="C40" s="374">
        <v>1000</v>
      </c>
      <c r="D40" s="668" t="s">
        <v>11</v>
      </c>
      <c r="E40" s="669"/>
      <c r="F40" s="669"/>
      <c r="G40" s="669"/>
      <c r="H40" s="669"/>
      <c r="I40" s="669"/>
      <c r="J40" s="670"/>
      <c r="K40" s="246"/>
    </row>
    <row r="41" spans="1:15" ht="15" customHeight="1" thickBot="1" x14ac:dyDescent="0.3">
      <c r="B41" s="274"/>
      <c r="C41" s="369">
        <v>10</v>
      </c>
      <c r="D41" s="671" t="s">
        <v>12</v>
      </c>
      <c r="E41" s="669"/>
      <c r="F41" s="669"/>
      <c r="G41" s="669"/>
      <c r="H41" s="669"/>
      <c r="I41" s="669"/>
      <c r="J41" s="670"/>
      <c r="K41" s="246"/>
    </row>
    <row r="42" spans="1:15" ht="45" customHeight="1" thickBot="1" x14ac:dyDescent="0.3">
      <c r="B42" s="274"/>
      <c r="C42" s="672" t="s">
        <v>20</v>
      </c>
      <c r="D42" s="673"/>
      <c r="E42" s="276">
        <f>((E34/1000)*E22)+((E35/10)*(E23/1000))</f>
        <v>0</v>
      </c>
      <c r="F42" s="277" t="s">
        <v>72</v>
      </c>
      <c r="G42" s="277"/>
      <c r="H42" s="277"/>
      <c r="I42" s="277"/>
      <c r="J42" s="278"/>
      <c r="K42" s="255"/>
    </row>
    <row r="43" spans="1:15" x14ac:dyDescent="0.25">
      <c r="C43" s="246"/>
      <c r="D43" s="246"/>
      <c r="E43" s="246"/>
      <c r="F43" s="246"/>
      <c r="G43" s="246"/>
      <c r="H43" s="246"/>
      <c r="I43" s="246"/>
      <c r="J43" s="246"/>
      <c r="K43" s="246"/>
    </row>
    <row r="44" spans="1:15" x14ac:dyDescent="0.25">
      <c r="C44" s="246"/>
      <c r="D44" s="246"/>
      <c r="E44" s="246"/>
      <c r="F44" s="246"/>
      <c r="G44" s="246"/>
      <c r="H44" s="246"/>
      <c r="I44" s="246"/>
      <c r="J44" s="246"/>
      <c r="K44" s="246"/>
    </row>
    <row r="45" spans="1:15" ht="15.75" hidden="1" thickBot="1" x14ac:dyDescent="0.3">
      <c r="A45" s="246"/>
      <c r="B45" s="279"/>
      <c r="C45" s="279"/>
      <c r="D45" s="279"/>
      <c r="E45" s="279"/>
      <c r="F45" s="279"/>
      <c r="G45" s="279"/>
      <c r="H45" s="279"/>
      <c r="I45" s="279"/>
      <c r="J45" s="279"/>
      <c r="K45" s="279"/>
    </row>
    <row r="46" spans="1:15" hidden="1" x14ac:dyDescent="0.25">
      <c r="A46" s="246"/>
      <c r="C46" s="246"/>
      <c r="D46" s="246"/>
      <c r="E46" s="246"/>
      <c r="F46" s="246"/>
      <c r="G46" s="246"/>
      <c r="H46" s="246"/>
      <c r="I46" s="246"/>
      <c r="J46" s="246"/>
      <c r="K46" s="246"/>
    </row>
    <row r="47" spans="1:15" hidden="1" x14ac:dyDescent="0.25">
      <c r="C47" s="246"/>
      <c r="D47" s="246"/>
      <c r="E47" s="246"/>
      <c r="F47" s="246"/>
      <c r="G47" s="246"/>
      <c r="H47" s="246"/>
      <c r="I47" s="246"/>
      <c r="J47" s="246"/>
      <c r="K47" s="246"/>
    </row>
    <row r="48" spans="1:15" ht="15.75" hidden="1" customHeight="1" x14ac:dyDescent="0.25">
      <c r="B48" s="674" t="s">
        <v>14</v>
      </c>
      <c r="C48" s="675"/>
      <c r="D48" s="675"/>
      <c r="E48" s="244"/>
      <c r="F48" s="244"/>
      <c r="G48" s="245"/>
      <c r="H48" s="246"/>
      <c r="I48" s="246"/>
      <c r="J48" s="246"/>
      <c r="K48" s="246"/>
    </row>
    <row r="49" spans="2:11" ht="15" hidden="1" customHeight="1" x14ac:dyDescent="0.25">
      <c r="B49" s="280" t="s">
        <v>27</v>
      </c>
      <c r="C49" s="281"/>
      <c r="D49" s="281"/>
      <c r="E49" s="247" t="s">
        <v>28</v>
      </c>
      <c r="F49" s="248" t="s">
        <v>29</v>
      </c>
      <c r="G49" s="249" t="s">
        <v>30</v>
      </c>
      <c r="H49" s="246"/>
      <c r="I49" s="246"/>
      <c r="J49" s="246">
        <v>0</v>
      </c>
      <c r="K49" s="246"/>
    </row>
    <row r="50" spans="2:11" hidden="1" x14ac:dyDescent="0.25">
      <c r="B50" s="676" t="s">
        <v>91</v>
      </c>
      <c r="C50" s="677"/>
      <c r="D50" s="678"/>
      <c r="E50" s="282">
        <v>20.22</v>
      </c>
      <c r="F50" s="251"/>
      <c r="G50" s="283"/>
      <c r="H50" s="246"/>
      <c r="I50" s="246"/>
      <c r="J50" s="246"/>
      <c r="K50" s="246"/>
    </row>
    <row r="51" spans="2:11" ht="15" hidden="1" customHeight="1" x14ac:dyDescent="0.25">
      <c r="B51" s="676" t="s">
        <v>92</v>
      </c>
      <c r="C51" s="677"/>
      <c r="D51" s="678"/>
      <c r="E51" s="282">
        <v>40768</v>
      </c>
      <c r="F51" s="251"/>
      <c r="G51" s="284"/>
      <c r="H51" s="246"/>
      <c r="I51" s="246"/>
      <c r="J51" s="246"/>
      <c r="K51" s="246"/>
    </row>
    <row r="52" spans="2:11" hidden="1" x14ac:dyDescent="0.25">
      <c r="B52" s="676" t="s">
        <v>93</v>
      </c>
      <c r="C52" s="677"/>
      <c r="D52" s="678"/>
      <c r="E52" s="285">
        <v>0.5</v>
      </c>
      <c r="F52" s="251"/>
      <c r="G52" s="284"/>
      <c r="H52" s="246"/>
      <c r="I52" s="246"/>
      <c r="J52" s="246"/>
      <c r="K52" s="246"/>
    </row>
    <row r="53" spans="2:11" hidden="1" x14ac:dyDescent="0.25">
      <c r="B53" s="676"/>
      <c r="C53" s="677"/>
      <c r="D53" s="678"/>
      <c r="E53" s="285"/>
      <c r="F53" s="251"/>
      <c r="G53" s="283"/>
      <c r="H53" s="246"/>
      <c r="I53" s="246"/>
      <c r="J53" s="246"/>
      <c r="K53" s="246"/>
    </row>
    <row r="54" spans="2:11" hidden="1" x14ac:dyDescent="0.25">
      <c r="G54" s="286"/>
    </row>
    <row r="55" spans="2:11" hidden="1" x14ac:dyDescent="0.25">
      <c r="B55" s="243"/>
      <c r="C55" s="243"/>
      <c r="D55" s="243"/>
      <c r="E55" s="243"/>
      <c r="F55" s="243"/>
      <c r="G55" s="243"/>
      <c r="H55" s="243"/>
      <c r="I55" s="243"/>
      <c r="J55" s="243"/>
      <c r="K55" s="243"/>
    </row>
    <row r="56" spans="2:11" ht="15.75" hidden="1" x14ac:dyDescent="0.25">
      <c r="B56" s="674" t="s">
        <v>51</v>
      </c>
      <c r="C56" s="675"/>
      <c r="D56" s="675"/>
      <c r="E56" s="675"/>
      <c r="F56" s="675"/>
      <c r="G56" s="675"/>
      <c r="H56" s="675"/>
      <c r="I56" s="675"/>
      <c r="J56" s="675"/>
      <c r="K56" s="688"/>
    </row>
    <row r="57" spans="2:11" hidden="1" x14ac:dyDescent="0.25">
      <c r="B57" s="661"/>
      <c r="C57" s="662"/>
      <c r="D57" s="662"/>
      <c r="E57" s="662"/>
      <c r="F57" s="662"/>
      <c r="G57" s="662"/>
      <c r="H57" s="662"/>
      <c r="I57" s="662"/>
      <c r="J57" s="662"/>
      <c r="K57" s="663"/>
    </row>
    <row r="58" spans="2:11" hidden="1" x14ac:dyDescent="0.25">
      <c r="B58" s="658"/>
      <c r="C58" s="659"/>
      <c r="D58" s="659"/>
      <c r="E58" s="659"/>
      <c r="F58" s="659"/>
      <c r="G58" s="659"/>
      <c r="H58" s="659"/>
      <c r="I58" s="659"/>
      <c r="J58" s="659"/>
      <c r="K58" s="660"/>
    </row>
    <row r="59" spans="2:11" hidden="1" x14ac:dyDescent="0.25">
      <c r="B59" s="661"/>
      <c r="C59" s="662"/>
      <c r="D59" s="662"/>
      <c r="E59" s="662"/>
      <c r="F59" s="662"/>
      <c r="G59" s="662"/>
      <c r="H59" s="662"/>
      <c r="I59" s="662"/>
      <c r="J59" s="662"/>
      <c r="K59" s="663"/>
    </row>
    <row r="60" spans="2:11" hidden="1" x14ac:dyDescent="0.25"/>
    <row r="61" spans="2:11" hidden="1" x14ac:dyDescent="0.25"/>
    <row r="62" spans="2:11" ht="15.75" hidden="1" customHeight="1" thickBot="1" x14ac:dyDescent="0.3">
      <c r="B62" s="265" t="s">
        <v>36</v>
      </c>
      <c r="C62" s="664" t="s">
        <v>120</v>
      </c>
      <c r="D62" s="665"/>
      <c r="E62" s="665"/>
      <c r="F62" s="665"/>
      <c r="G62" s="665"/>
      <c r="H62" s="665"/>
      <c r="I62" s="665"/>
      <c r="J62" s="665"/>
      <c r="K62" s="273"/>
    </row>
    <row r="63" spans="2:11" hidden="1" x14ac:dyDescent="0.25">
      <c r="B63" s="274"/>
      <c r="C63" s="684" t="s">
        <v>42</v>
      </c>
      <c r="D63" s="272"/>
      <c r="E63" s="686"/>
      <c r="F63" s="255"/>
      <c r="G63" s="255"/>
      <c r="H63" s="255"/>
      <c r="I63" s="255"/>
      <c r="J63" s="255"/>
      <c r="K63" s="288"/>
    </row>
    <row r="64" spans="2:11" hidden="1" x14ac:dyDescent="0.25">
      <c r="B64" s="274"/>
      <c r="C64" s="684"/>
      <c r="D64" s="289">
        <f>E51*E52</f>
        <v>20384</v>
      </c>
      <c r="E64" s="686"/>
      <c r="F64" s="255"/>
      <c r="G64" s="255"/>
      <c r="H64" s="255"/>
      <c r="I64" s="255"/>
      <c r="J64" s="255"/>
      <c r="K64" s="290"/>
    </row>
    <row r="65" spans="2:11" ht="15.75" hidden="1" thickBot="1" x14ac:dyDescent="0.3">
      <c r="B65" s="274"/>
      <c r="C65" s="685"/>
      <c r="D65" s="291"/>
      <c r="E65" s="687"/>
      <c r="F65" s="292"/>
      <c r="G65" s="292"/>
      <c r="H65" s="292"/>
      <c r="I65" s="292"/>
      <c r="J65" s="292"/>
      <c r="K65" s="293"/>
    </row>
    <row r="66" spans="2:11" hidden="1" x14ac:dyDescent="0.25"/>
  </sheetData>
  <sheetProtection password="DCA2" sheet="1" objects="1" scenarios="1"/>
  <mergeCells count="57">
    <mergeCell ref="B16:D16"/>
    <mergeCell ref="B17:D17"/>
    <mergeCell ref="B18:D18"/>
    <mergeCell ref="B19:D19"/>
    <mergeCell ref="B20:D20"/>
    <mergeCell ref="B1:J1"/>
    <mergeCell ref="C5:K5"/>
    <mergeCell ref="C6:K6"/>
    <mergeCell ref="E8:K8"/>
    <mergeCell ref="B15:D15"/>
    <mergeCell ref="B7:B12"/>
    <mergeCell ref="E7:K7"/>
    <mergeCell ref="E9:K9"/>
    <mergeCell ref="E10:K10"/>
    <mergeCell ref="E12:K12"/>
    <mergeCell ref="C4:K4"/>
    <mergeCell ref="E11:K11"/>
    <mergeCell ref="B21:D21"/>
    <mergeCell ref="B22:D22"/>
    <mergeCell ref="B23:D23"/>
    <mergeCell ref="B24:D24"/>
    <mergeCell ref="B28:K28"/>
    <mergeCell ref="H23:K23"/>
    <mergeCell ref="H24:K24"/>
    <mergeCell ref="B31:K31"/>
    <mergeCell ref="C34:D34"/>
    <mergeCell ref="H34:K34"/>
    <mergeCell ref="C35:D35"/>
    <mergeCell ref="H35:K35"/>
    <mergeCell ref="C33:G33"/>
    <mergeCell ref="C63:C65"/>
    <mergeCell ref="E63:E65"/>
    <mergeCell ref="B52:D52"/>
    <mergeCell ref="B53:D53"/>
    <mergeCell ref="B56:K56"/>
    <mergeCell ref="B57:K57"/>
    <mergeCell ref="H16:K16"/>
    <mergeCell ref="H17:K17"/>
    <mergeCell ref="B58:K58"/>
    <mergeCell ref="B59:K59"/>
    <mergeCell ref="C62:J62"/>
    <mergeCell ref="D39:J39"/>
    <mergeCell ref="D40:J40"/>
    <mergeCell ref="D41:J41"/>
    <mergeCell ref="C42:D42"/>
    <mergeCell ref="B48:D48"/>
    <mergeCell ref="B50:D50"/>
    <mergeCell ref="B51:D51"/>
    <mergeCell ref="B29:K29"/>
    <mergeCell ref="C37:J37"/>
    <mergeCell ref="D38:J38"/>
    <mergeCell ref="B30:K30"/>
    <mergeCell ref="H18:K18"/>
    <mergeCell ref="H19:K19"/>
    <mergeCell ref="H20:K20"/>
    <mergeCell ref="H21:K21"/>
    <mergeCell ref="H22:K22"/>
  </mergeCells>
  <dataValidations count="1">
    <dataValidation type="list" allowBlank="1" showInputMessage="1" showErrorMessage="1" sqref="C8:C12">
      <formula1>ImpOptions</formula1>
    </dataValidation>
  </dataValidations>
  <pageMargins left="0.7" right="0.7" top="0.75" bottom="0.75" header="0.3" footer="0.3"/>
  <pageSetup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P66"/>
  <sheetViews>
    <sheetView zoomScaleNormal="100" workbookViewId="0">
      <selection activeCell="B3" sqref="B3"/>
    </sheetView>
  </sheetViews>
  <sheetFormatPr defaultColWidth="9.140625" defaultRowHeight="15" x14ac:dyDescent="0.25"/>
  <cols>
    <col min="1" max="1" width="1.7109375" style="233" customWidth="1"/>
    <col min="2" max="2" width="20.28515625" style="233" customWidth="1"/>
    <col min="3" max="4" width="15.7109375" style="233" customWidth="1"/>
    <col min="5" max="5" width="14" style="233" customWidth="1"/>
    <col min="6" max="6" width="15.7109375" style="233" customWidth="1"/>
    <col min="7" max="7" width="16.7109375" style="233" customWidth="1"/>
    <col min="8" max="10" width="15.7109375" style="233" customWidth="1"/>
    <col min="11" max="11" width="21.5703125" style="233" customWidth="1"/>
    <col min="12" max="15" width="15.7109375" style="233" customWidth="1"/>
    <col min="16" max="16384" width="9.140625" style="233"/>
  </cols>
  <sheetData>
    <row r="1" spans="2:42" ht="26.25" customHeight="1" x14ac:dyDescent="0.25">
      <c r="B1" s="706" t="s">
        <v>387</v>
      </c>
      <c r="C1" s="706"/>
      <c r="D1" s="706"/>
      <c r="E1" s="706"/>
      <c r="F1" s="706"/>
      <c r="G1" s="706"/>
      <c r="H1" s="706"/>
      <c r="I1" s="706"/>
      <c r="J1" s="706"/>
    </row>
    <row r="2" spans="2:42" ht="14.45" customHeight="1" x14ac:dyDescent="0.25">
      <c r="B2" s="234"/>
      <c r="C2" s="234"/>
      <c r="D2" s="234"/>
      <c r="E2" s="234"/>
      <c r="F2" s="234"/>
      <c r="G2" s="234"/>
      <c r="H2" s="234"/>
      <c r="I2" s="234"/>
      <c r="J2" s="234"/>
    </row>
    <row r="3" spans="2:42" ht="15.75" thickBot="1" x14ac:dyDescent="0.3">
      <c r="B3" s="336">
        <v>41613</v>
      </c>
      <c r="C3" s="235" t="s">
        <v>412</v>
      </c>
    </row>
    <row r="4" spans="2:42" ht="21.6" customHeight="1" x14ac:dyDescent="0.25">
      <c r="B4" s="339" t="s">
        <v>15</v>
      </c>
      <c r="C4" s="754" t="s">
        <v>275</v>
      </c>
      <c r="D4" s="754"/>
      <c r="E4" s="754"/>
      <c r="F4" s="754"/>
      <c r="G4" s="754"/>
      <c r="H4" s="754"/>
      <c r="I4" s="754"/>
      <c r="J4" s="754"/>
      <c r="K4" s="755"/>
    </row>
    <row r="5" spans="2:42" x14ac:dyDescent="0.25">
      <c r="B5" s="340" t="s">
        <v>0</v>
      </c>
      <c r="C5" s="669" t="s">
        <v>1</v>
      </c>
      <c r="D5" s="669"/>
      <c r="E5" s="669"/>
      <c r="F5" s="669"/>
      <c r="G5" s="669"/>
      <c r="H5" s="669"/>
      <c r="I5" s="669"/>
      <c r="J5" s="669"/>
      <c r="K5" s="670"/>
    </row>
    <row r="6" spans="2:42" ht="31.15" customHeight="1" thickBot="1" x14ac:dyDescent="0.3">
      <c r="B6" s="341" t="s">
        <v>13</v>
      </c>
      <c r="C6" s="756" t="s">
        <v>423</v>
      </c>
      <c r="D6" s="756"/>
      <c r="E6" s="756"/>
      <c r="F6" s="756"/>
      <c r="G6" s="756"/>
      <c r="H6" s="756"/>
      <c r="I6" s="756"/>
      <c r="J6" s="756"/>
      <c r="K6" s="757"/>
    </row>
    <row r="7" spans="2:42" ht="18.600000000000001" customHeight="1" x14ac:dyDescent="0.25">
      <c r="B7" s="714" t="s">
        <v>553</v>
      </c>
      <c r="C7" s="240" t="s">
        <v>414</v>
      </c>
      <c r="D7" s="240" t="s">
        <v>413</v>
      </c>
      <c r="E7" s="717" t="s">
        <v>421</v>
      </c>
      <c r="F7" s="718"/>
      <c r="G7" s="718"/>
      <c r="H7" s="718"/>
      <c r="I7" s="718"/>
      <c r="J7" s="718"/>
      <c r="K7" s="719"/>
    </row>
    <row r="8" spans="2:42" ht="27" customHeight="1" x14ac:dyDescent="0.25">
      <c r="B8" s="715"/>
      <c r="C8" s="228" t="s">
        <v>442</v>
      </c>
      <c r="D8" s="370">
        <v>2014</v>
      </c>
      <c r="E8" s="710" t="s">
        <v>445</v>
      </c>
      <c r="F8" s="711"/>
      <c r="G8" s="711"/>
      <c r="H8" s="711"/>
      <c r="I8" s="711"/>
      <c r="J8" s="711"/>
      <c r="K8" s="712"/>
    </row>
    <row r="9" spans="2:42" ht="42" customHeight="1" x14ac:dyDescent="0.25">
      <c r="B9" s="715"/>
      <c r="C9" s="228" t="s">
        <v>442</v>
      </c>
      <c r="D9" s="241">
        <v>2014</v>
      </c>
      <c r="E9" s="596" t="s">
        <v>435</v>
      </c>
      <c r="F9" s="720"/>
      <c r="G9" s="720"/>
      <c r="H9" s="720"/>
      <c r="I9" s="720"/>
      <c r="J9" s="720"/>
      <c r="K9" s="721"/>
    </row>
    <row r="10" spans="2:42" ht="29.45" customHeight="1" thickBot="1" x14ac:dyDescent="0.3">
      <c r="B10" s="716"/>
      <c r="C10" s="230" t="s">
        <v>443</v>
      </c>
      <c r="D10" s="242">
        <v>2014</v>
      </c>
      <c r="E10" s="599" t="s">
        <v>436</v>
      </c>
      <c r="F10" s="722"/>
      <c r="G10" s="722"/>
      <c r="H10" s="722"/>
      <c r="I10" s="722"/>
      <c r="J10" s="722"/>
      <c r="K10" s="723"/>
    </row>
    <row r="11" spans="2:42" x14ac:dyDescent="0.25">
      <c r="C11" s="198"/>
      <c r="E11" s="246"/>
      <c r="F11" s="202"/>
      <c r="G11" s="246"/>
    </row>
    <row r="12" spans="2:42" ht="15.75" customHeight="1" thickBot="1" x14ac:dyDescent="0.3">
      <c r="B12" s="758" t="s">
        <v>26</v>
      </c>
      <c r="C12" s="758"/>
      <c r="D12" s="758"/>
      <c r="E12" s="264"/>
      <c r="F12" s="264"/>
      <c r="G12" s="264"/>
      <c r="H12" s="264"/>
      <c r="I12" s="362"/>
      <c r="J12" s="363"/>
      <c r="K12" s="363"/>
      <c r="L12" s="250"/>
      <c r="M12" s="250"/>
      <c r="N12" s="250"/>
      <c r="O12" s="250"/>
      <c r="P12" s="250"/>
      <c r="Q12" s="250"/>
      <c r="R12" s="246"/>
      <c r="S12" s="246"/>
      <c r="T12" s="246"/>
      <c r="U12" s="246"/>
      <c r="V12" s="246"/>
      <c r="W12" s="246"/>
      <c r="X12" s="246"/>
      <c r="Y12" s="246"/>
      <c r="Z12" s="246"/>
      <c r="AA12" s="246"/>
      <c r="AB12" s="246"/>
      <c r="AC12" s="246"/>
      <c r="AD12" s="246"/>
      <c r="AE12" s="246"/>
      <c r="AF12" s="246"/>
      <c r="AG12" s="246"/>
    </row>
    <row r="13" spans="2:42" ht="15" customHeight="1" x14ac:dyDescent="0.25">
      <c r="B13" s="759" t="s">
        <v>27</v>
      </c>
      <c r="C13" s="760"/>
      <c r="D13" s="761"/>
      <c r="E13" s="361" t="s">
        <v>28</v>
      </c>
      <c r="F13" s="361" t="s">
        <v>29</v>
      </c>
      <c r="G13" s="361" t="s">
        <v>30</v>
      </c>
      <c r="H13" s="762" t="s">
        <v>395</v>
      </c>
      <c r="I13" s="763"/>
      <c r="J13" s="763"/>
      <c r="K13" s="764"/>
      <c r="L13" s="250"/>
      <c r="M13" s="250"/>
      <c r="N13" s="250"/>
      <c r="O13" s="250"/>
      <c r="P13" s="250"/>
      <c r="Q13" s="250"/>
      <c r="R13" s="250"/>
      <c r="S13" s="246"/>
      <c r="T13" s="246"/>
      <c r="U13" s="246"/>
      <c r="V13" s="246"/>
      <c r="W13" s="246"/>
      <c r="X13" s="246"/>
      <c r="Y13" s="246"/>
      <c r="Z13" s="246"/>
      <c r="AA13" s="246"/>
      <c r="AB13" s="246"/>
      <c r="AC13" s="246"/>
      <c r="AD13" s="246"/>
      <c r="AE13" s="246"/>
      <c r="AF13" s="246"/>
      <c r="AG13" s="246"/>
    </row>
    <row r="14" spans="2:42" ht="30" customHeight="1" x14ac:dyDescent="0.3">
      <c r="B14" s="699" t="s">
        <v>502</v>
      </c>
      <c r="C14" s="700"/>
      <c r="D14" s="700"/>
      <c r="E14" s="86">
        <v>0</v>
      </c>
      <c r="F14" s="251" t="s">
        <v>63</v>
      </c>
      <c r="G14" s="256" t="s">
        <v>71</v>
      </c>
      <c r="H14" s="733" t="s">
        <v>505</v>
      </c>
      <c r="I14" s="733"/>
      <c r="J14" s="733"/>
      <c r="K14" s="734"/>
      <c r="L14" s="250"/>
      <c r="N14" s="250"/>
      <c r="O14" s="250"/>
      <c r="P14" s="250"/>
      <c r="Q14" s="250"/>
      <c r="R14" s="250"/>
    </row>
    <row r="15" spans="2:42" ht="42" customHeight="1" x14ac:dyDescent="0.3">
      <c r="B15" s="699" t="s">
        <v>503</v>
      </c>
      <c r="C15" s="700"/>
      <c r="D15" s="700"/>
      <c r="E15" s="86">
        <v>0</v>
      </c>
      <c r="F15" s="251" t="s">
        <v>63</v>
      </c>
      <c r="G15" s="256" t="s">
        <v>277</v>
      </c>
      <c r="H15" s="733" t="s">
        <v>612</v>
      </c>
      <c r="I15" s="733"/>
      <c r="J15" s="733"/>
      <c r="K15" s="734"/>
      <c r="L15" s="250"/>
      <c r="N15" s="250"/>
      <c r="O15" s="250"/>
      <c r="P15" s="250"/>
      <c r="Q15" s="250"/>
      <c r="R15" s="250"/>
    </row>
    <row r="16" spans="2:42" ht="28.15" customHeight="1" x14ac:dyDescent="0.3">
      <c r="B16" s="699" t="s">
        <v>278</v>
      </c>
      <c r="C16" s="700"/>
      <c r="D16" s="700"/>
      <c r="E16" s="203">
        <v>0.1</v>
      </c>
      <c r="F16" s="251" t="s">
        <v>65</v>
      </c>
      <c r="G16" s="256" t="s">
        <v>31</v>
      </c>
      <c r="H16" s="731"/>
      <c r="I16" s="731"/>
      <c r="J16" s="731"/>
      <c r="K16" s="732"/>
      <c r="L16" s="255"/>
      <c r="M16" s="255"/>
      <c r="N16" s="255"/>
      <c r="O16" s="255"/>
      <c r="P16" s="255"/>
      <c r="Q16" s="255"/>
      <c r="R16" s="255"/>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row>
    <row r="17" spans="2:42" ht="28.9" customHeight="1" x14ac:dyDescent="0.3">
      <c r="B17" s="699" t="s">
        <v>279</v>
      </c>
      <c r="C17" s="700"/>
      <c r="D17" s="700"/>
      <c r="E17" s="203">
        <v>0.25</v>
      </c>
      <c r="F17" s="251" t="s">
        <v>65</v>
      </c>
      <c r="G17" s="256" t="s">
        <v>32</v>
      </c>
      <c r="H17" s="731"/>
      <c r="I17" s="731"/>
      <c r="J17" s="731"/>
      <c r="K17" s="732"/>
      <c r="L17" s="255"/>
      <c r="M17" s="255"/>
      <c r="N17" s="255"/>
      <c r="O17" s="255"/>
      <c r="P17" s="255"/>
      <c r="Q17" s="255"/>
      <c r="R17" s="255"/>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row>
    <row r="18" spans="2:42" ht="31.9" customHeight="1" x14ac:dyDescent="0.3">
      <c r="B18" s="699" t="s">
        <v>280</v>
      </c>
      <c r="C18" s="700"/>
      <c r="D18" s="700"/>
      <c r="E18" s="203">
        <v>0.05</v>
      </c>
      <c r="F18" s="251" t="s">
        <v>65</v>
      </c>
      <c r="G18" s="256" t="s">
        <v>281</v>
      </c>
      <c r="H18" s="731"/>
      <c r="I18" s="731"/>
      <c r="J18" s="731"/>
      <c r="K18" s="732"/>
      <c r="L18" s="255"/>
      <c r="M18" s="255"/>
      <c r="N18" s="255"/>
      <c r="O18" s="255"/>
      <c r="P18" s="255"/>
      <c r="Q18" s="255"/>
      <c r="R18" s="255"/>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row>
    <row r="19" spans="2:42" ht="27.6" customHeight="1" x14ac:dyDescent="0.3">
      <c r="B19" s="699" t="s">
        <v>282</v>
      </c>
      <c r="C19" s="700"/>
      <c r="D19" s="700"/>
      <c r="E19" s="203">
        <v>0.1</v>
      </c>
      <c r="F19" s="251" t="s">
        <v>65</v>
      </c>
      <c r="G19" s="256" t="s">
        <v>283</v>
      </c>
      <c r="H19" s="731"/>
      <c r="I19" s="731"/>
      <c r="J19" s="731"/>
      <c r="K19" s="732"/>
      <c r="L19" s="255"/>
      <c r="M19" s="255"/>
      <c r="N19" s="255"/>
      <c r="O19" s="255"/>
      <c r="P19" s="255"/>
      <c r="Q19" s="255"/>
      <c r="R19" s="255"/>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row>
    <row r="20" spans="2:42" ht="30.6" customHeight="1" x14ac:dyDescent="0.3">
      <c r="B20" s="697" t="s">
        <v>123</v>
      </c>
      <c r="C20" s="698"/>
      <c r="D20" s="698"/>
      <c r="E20" s="162">
        <f>'Common Factors'!D61</f>
        <v>2.65</v>
      </c>
      <c r="F20" s="251" t="s">
        <v>4</v>
      </c>
      <c r="G20" s="256" t="s">
        <v>67</v>
      </c>
      <c r="H20" s="731"/>
      <c r="I20" s="731"/>
      <c r="J20" s="731"/>
      <c r="K20" s="732"/>
    </row>
    <row r="21" spans="2:42" ht="31.15" customHeight="1" x14ac:dyDescent="0.3">
      <c r="B21" s="697" t="s">
        <v>284</v>
      </c>
      <c r="C21" s="698"/>
      <c r="D21" s="698"/>
      <c r="E21" s="162">
        <f>'Common Factors'!D62</f>
        <v>1.8258704137392663</v>
      </c>
      <c r="F21" s="251" t="s">
        <v>5</v>
      </c>
      <c r="G21" s="256" t="s">
        <v>68</v>
      </c>
      <c r="H21" s="731"/>
      <c r="I21" s="731"/>
      <c r="J21" s="731"/>
      <c r="K21" s="732"/>
    </row>
    <row r="22" spans="2:42" ht="15" customHeight="1" x14ac:dyDescent="0.3">
      <c r="B22" s="699" t="s">
        <v>98</v>
      </c>
      <c r="C22" s="700"/>
      <c r="D22" s="700"/>
      <c r="E22" s="162">
        <f>'Common Factors'!D17</f>
        <v>0.30935036423510631</v>
      </c>
      <c r="F22" s="251" t="s">
        <v>37</v>
      </c>
      <c r="G22" s="256" t="s">
        <v>40</v>
      </c>
      <c r="H22" s="731"/>
      <c r="I22" s="731"/>
      <c r="J22" s="731"/>
      <c r="K22" s="732"/>
    </row>
    <row r="23" spans="2:42" ht="15" customHeight="1" x14ac:dyDescent="0.3">
      <c r="B23" s="699" t="s">
        <v>107</v>
      </c>
      <c r="C23" s="700"/>
      <c r="D23" s="700"/>
      <c r="E23" s="162">
        <f>'Common Factors'!D20</f>
        <v>53.02</v>
      </c>
      <c r="F23" s="251" t="s">
        <v>38</v>
      </c>
      <c r="G23" s="256" t="s">
        <v>39</v>
      </c>
      <c r="H23" s="731"/>
      <c r="I23" s="731"/>
      <c r="J23" s="731"/>
      <c r="K23" s="732"/>
    </row>
    <row r="24" spans="2:42" ht="15" customHeight="1" thickBot="1" x14ac:dyDescent="0.3">
      <c r="B24" s="701" t="s">
        <v>124</v>
      </c>
      <c r="C24" s="702"/>
      <c r="D24" s="702"/>
      <c r="E24" s="359">
        <f>'Common Factors'!D80</f>
        <v>0.88</v>
      </c>
      <c r="F24" s="353"/>
      <c r="G24" s="354" t="s">
        <v>125</v>
      </c>
      <c r="H24" s="752"/>
      <c r="I24" s="752"/>
      <c r="J24" s="752"/>
      <c r="K24" s="753"/>
    </row>
    <row r="25" spans="2:42" x14ac:dyDescent="0.25">
      <c r="B25" s="262"/>
      <c r="C25" s="246"/>
      <c r="D25" s="294"/>
      <c r="E25" s="294"/>
      <c r="F25" s="294"/>
      <c r="G25" s="294"/>
      <c r="H25" s="294"/>
      <c r="I25" s="294"/>
      <c r="J25" s="294"/>
      <c r="K25" s="294"/>
      <c r="L25" s="246"/>
    </row>
    <row r="26" spans="2:42" ht="15.75" thickBot="1" x14ac:dyDescent="0.3">
      <c r="B26" s="262"/>
      <c r="C26" s="246"/>
      <c r="D26" s="294"/>
      <c r="E26" s="294"/>
      <c r="F26" s="294"/>
      <c r="G26" s="294"/>
      <c r="H26" s="294"/>
      <c r="I26" s="294"/>
      <c r="J26" s="294"/>
      <c r="K26" s="294"/>
      <c r="L26" s="246"/>
    </row>
    <row r="27" spans="2:42" ht="15" customHeight="1" x14ac:dyDescent="0.25">
      <c r="B27" s="747" t="s">
        <v>25</v>
      </c>
      <c r="C27" s="748"/>
      <c r="D27" s="748"/>
      <c r="E27" s="748"/>
      <c r="F27" s="748"/>
      <c r="G27" s="748"/>
      <c r="H27" s="748"/>
      <c r="I27" s="748"/>
      <c r="J27" s="748"/>
      <c r="K27" s="749"/>
    </row>
    <row r="28" spans="2:42" ht="15" customHeight="1" x14ac:dyDescent="0.25">
      <c r="B28" s="750" t="s">
        <v>45</v>
      </c>
      <c r="C28" s="662"/>
      <c r="D28" s="662"/>
      <c r="E28" s="662"/>
      <c r="F28" s="662"/>
      <c r="G28" s="662"/>
      <c r="H28" s="662"/>
      <c r="I28" s="662"/>
      <c r="J28" s="662"/>
      <c r="K28" s="751"/>
    </row>
    <row r="29" spans="2:42" ht="15" customHeight="1" x14ac:dyDescent="0.25">
      <c r="B29" s="750" t="s">
        <v>50</v>
      </c>
      <c r="C29" s="662"/>
      <c r="D29" s="662"/>
      <c r="E29" s="662"/>
      <c r="F29" s="662"/>
      <c r="G29" s="662"/>
      <c r="H29" s="662"/>
      <c r="I29" s="662"/>
      <c r="J29" s="662"/>
      <c r="K29" s="751"/>
    </row>
    <row r="30" spans="2:42" ht="15" customHeight="1" thickBot="1" x14ac:dyDescent="0.3">
      <c r="B30" s="737" t="s">
        <v>272</v>
      </c>
      <c r="C30" s="738"/>
      <c r="D30" s="738"/>
      <c r="E30" s="738"/>
      <c r="F30" s="738"/>
      <c r="G30" s="738"/>
      <c r="H30" s="738"/>
      <c r="I30" s="738"/>
      <c r="J30" s="738"/>
      <c r="K30" s="739"/>
    </row>
    <row r="31" spans="2:42" ht="15.75" thickBot="1" x14ac:dyDescent="0.3"/>
    <row r="32" spans="2:42" ht="58.5" customHeight="1" x14ac:dyDescent="0.25">
      <c r="B32" s="365" t="s">
        <v>22</v>
      </c>
      <c r="C32" s="742" t="s">
        <v>285</v>
      </c>
      <c r="D32" s="743"/>
      <c r="E32" s="743"/>
      <c r="F32" s="744"/>
      <c r="G32" s="258"/>
      <c r="H32" s="258"/>
      <c r="I32" s="258"/>
      <c r="J32" s="258"/>
      <c r="K32" s="258"/>
    </row>
    <row r="33" spans="1:11" ht="45" customHeight="1" x14ac:dyDescent="0.25">
      <c r="B33" s="265"/>
      <c r="C33" s="740" t="s">
        <v>53</v>
      </c>
      <c r="D33" s="741"/>
      <c r="E33" s="268">
        <f>((E16*E14*E20)+(E15*E18*E20))*E24</f>
        <v>0</v>
      </c>
      <c r="F33" s="364" t="s">
        <v>55</v>
      </c>
      <c r="G33" s="258"/>
      <c r="H33" s="691"/>
      <c r="I33" s="691"/>
      <c r="J33" s="691"/>
      <c r="K33" s="691"/>
    </row>
    <row r="34" spans="1:11" ht="45" customHeight="1" thickBot="1" x14ac:dyDescent="0.3">
      <c r="B34" s="265"/>
      <c r="C34" s="692" t="s">
        <v>54</v>
      </c>
      <c r="D34" s="693"/>
      <c r="E34" s="307">
        <f>(E17*E14*E21)+(E15*E19*E21)</f>
        <v>0</v>
      </c>
      <c r="F34" s="308" t="s">
        <v>69</v>
      </c>
      <c r="G34" s="258"/>
      <c r="H34" s="691"/>
      <c r="I34" s="691"/>
      <c r="J34" s="691"/>
      <c r="K34" s="691"/>
    </row>
    <row r="35" spans="1:11" x14ac:dyDescent="0.25">
      <c r="C35" s="272"/>
      <c r="D35" s="272"/>
      <c r="E35" s="272"/>
      <c r="G35" s="246"/>
    </row>
    <row r="36" spans="1:11" ht="15.75" thickBot="1" x14ac:dyDescent="0.3"/>
    <row r="37" spans="1:11" ht="30" customHeight="1" x14ac:dyDescent="0.25">
      <c r="B37" s="365" t="s">
        <v>35</v>
      </c>
      <c r="C37" s="742" t="s">
        <v>41</v>
      </c>
      <c r="D37" s="743"/>
      <c r="E37" s="743"/>
      <c r="F37" s="743"/>
      <c r="G37" s="744"/>
      <c r="H37" s="323"/>
      <c r="I37" s="323"/>
      <c r="J37" s="323"/>
      <c r="K37" s="316"/>
    </row>
    <row r="38" spans="1:11" ht="15" customHeight="1" x14ac:dyDescent="0.25">
      <c r="B38" s="274"/>
      <c r="C38" s="275" t="s">
        <v>21</v>
      </c>
      <c r="D38" s="666">
        <v>4.1112025690636848E-283</v>
      </c>
      <c r="E38" s="745"/>
      <c r="F38" s="745"/>
      <c r="G38" s="746"/>
      <c r="H38" s="323"/>
      <c r="I38" s="323"/>
      <c r="J38" s="323"/>
      <c r="K38" s="316"/>
    </row>
    <row r="39" spans="1:11" ht="15" customHeight="1" x14ac:dyDescent="0.25">
      <c r="B39" s="274"/>
      <c r="C39" s="367" t="s">
        <v>9</v>
      </c>
      <c r="D39" s="666" t="s">
        <v>10</v>
      </c>
      <c r="E39" s="745"/>
      <c r="F39" s="745"/>
      <c r="G39" s="746"/>
      <c r="H39" s="323"/>
      <c r="I39" s="323"/>
      <c r="J39" s="323"/>
      <c r="K39" s="316"/>
    </row>
    <row r="40" spans="1:11" ht="27" customHeight="1" x14ac:dyDescent="0.25">
      <c r="B40" s="274"/>
      <c r="C40" s="368">
        <v>1000</v>
      </c>
      <c r="D40" s="666" t="s">
        <v>11</v>
      </c>
      <c r="E40" s="745"/>
      <c r="F40" s="745"/>
      <c r="G40" s="746"/>
      <c r="H40" s="366"/>
      <c r="I40" s="366"/>
      <c r="J40" s="366"/>
      <c r="K40" s="316"/>
    </row>
    <row r="41" spans="1:11" ht="15" customHeight="1" thickBot="1" x14ac:dyDescent="0.3">
      <c r="B41" s="274"/>
      <c r="C41" s="369">
        <v>10</v>
      </c>
      <c r="D41" s="666" t="s">
        <v>12</v>
      </c>
      <c r="E41" s="745"/>
      <c r="F41" s="745"/>
      <c r="G41" s="746"/>
      <c r="H41" s="323"/>
      <c r="I41" s="323"/>
      <c r="J41" s="323"/>
      <c r="K41" s="316"/>
    </row>
    <row r="42" spans="1:11" ht="45" customHeight="1" thickBot="1" x14ac:dyDescent="0.3">
      <c r="B42" s="274"/>
      <c r="C42" s="672" t="s">
        <v>20</v>
      </c>
      <c r="D42" s="673"/>
      <c r="E42" s="276">
        <f>((E33/1000)*E22)+((E34/10)*(E23/1000))</f>
        <v>0</v>
      </c>
      <c r="F42" s="277">
        <v>1.1203395077842033E-288</v>
      </c>
      <c r="G42" s="278"/>
      <c r="H42" s="255"/>
      <c r="I42" s="255"/>
      <c r="J42" s="255"/>
      <c r="K42" s="255"/>
    </row>
    <row r="43" spans="1:11" x14ac:dyDescent="0.25">
      <c r="C43" s="246"/>
      <c r="D43" s="246"/>
      <c r="E43" s="246"/>
      <c r="F43" s="246"/>
      <c r="G43" s="246"/>
      <c r="H43" s="246"/>
      <c r="I43" s="246"/>
      <c r="J43" s="246"/>
      <c r="K43" s="246"/>
    </row>
    <row r="44" spans="1:11" x14ac:dyDescent="0.25">
      <c r="C44" s="246"/>
      <c r="D44" s="246"/>
      <c r="E44" s="246"/>
      <c r="F44" s="246"/>
      <c r="G44" s="246"/>
      <c r="H44" s="246"/>
      <c r="I44" s="246"/>
      <c r="J44" s="246"/>
      <c r="K44" s="246"/>
    </row>
    <row r="45" spans="1:11" ht="15.75" hidden="1" customHeight="1" thickBot="1" x14ac:dyDescent="0.3">
      <c r="A45" s="246"/>
      <c r="B45" s="279"/>
      <c r="C45" s="279"/>
      <c r="D45" s="279"/>
      <c r="E45" s="279"/>
      <c r="F45" s="279"/>
      <c r="G45" s="279"/>
      <c r="H45" s="279"/>
      <c r="I45" s="279"/>
      <c r="J45" s="279"/>
      <c r="K45" s="279"/>
    </row>
    <row r="46" spans="1:11" ht="15" hidden="1" customHeight="1" x14ac:dyDescent="0.25">
      <c r="A46" s="246"/>
      <c r="C46" s="246"/>
      <c r="D46" s="246"/>
      <c r="E46" s="246"/>
      <c r="F46" s="246"/>
      <c r="G46" s="246"/>
      <c r="H46" s="246"/>
      <c r="I46" s="246"/>
      <c r="J46" s="246"/>
      <c r="K46" s="246"/>
    </row>
    <row r="47" spans="1:11" ht="15" hidden="1" customHeight="1" x14ac:dyDescent="0.25">
      <c r="C47" s="246"/>
      <c r="D47" s="246"/>
      <c r="E47" s="246"/>
      <c r="F47" s="246"/>
      <c r="G47" s="246"/>
      <c r="H47" s="246"/>
      <c r="I47" s="246"/>
      <c r="J47" s="246"/>
      <c r="K47" s="246"/>
    </row>
    <row r="48" spans="1:11" ht="15.75" hidden="1" customHeight="1" x14ac:dyDescent="0.25">
      <c r="B48" s="674" t="s">
        <v>14</v>
      </c>
      <c r="C48" s="675"/>
      <c r="D48" s="675"/>
      <c r="E48" s="244"/>
      <c r="F48" s="244"/>
      <c r="G48" s="245"/>
      <c r="H48" s="246"/>
      <c r="I48" s="246"/>
      <c r="J48" s="246"/>
      <c r="K48" s="246"/>
    </row>
    <row r="49" spans="2:11" ht="15" hidden="1" customHeight="1" x14ac:dyDescent="0.25">
      <c r="B49" s="280" t="s">
        <v>27</v>
      </c>
      <c r="C49" s="281"/>
      <c r="D49" s="281"/>
      <c r="E49" s="247" t="s">
        <v>28</v>
      </c>
      <c r="F49" s="248" t="s">
        <v>29</v>
      </c>
      <c r="G49" s="249" t="s">
        <v>30</v>
      </c>
      <c r="H49" s="246"/>
      <c r="I49" s="246"/>
      <c r="J49" s="246"/>
      <c r="K49" s="246"/>
    </row>
    <row r="50" spans="2:11" ht="15" hidden="1" customHeight="1" x14ac:dyDescent="0.25">
      <c r="B50" s="676" t="s">
        <v>91</v>
      </c>
      <c r="C50" s="677"/>
      <c r="D50" s="678"/>
      <c r="E50" s="282">
        <v>20.22</v>
      </c>
      <c r="F50" s="251"/>
      <c r="G50" s="283"/>
      <c r="H50" s="246"/>
      <c r="I50" s="246"/>
      <c r="J50" s="246"/>
      <c r="K50" s="246"/>
    </row>
    <row r="51" spans="2:11" ht="15" hidden="1" customHeight="1" x14ac:dyDescent="0.25">
      <c r="B51" s="676" t="s">
        <v>92</v>
      </c>
      <c r="C51" s="677"/>
      <c r="D51" s="678"/>
      <c r="E51" s="282">
        <v>40768</v>
      </c>
      <c r="F51" s="251"/>
      <c r="G51" s="284"/>
      <c r="H51" s="246"/>
      <c r="I51" s="246"/>
      <c r="J51" s="246"/>
      <c r="K51" s="246"/>
    </row>
    <row r="52" spans="2:11" ht="15" hidden="1" customHeight="1" x14ac:dyDescent="0.25">
      <c r="B52" s="676" t="s">
        <v>93</v>
      </c>
      <c r="C52" s="677"/>
      <c r="D52" s="678"/>
      <c r="E52" s="285">
        <v>0.3</v>
      </c>
      <c r="F52" s="251"/>
      <c r="G52" s="284"/>
      <c r="H52" s="246"/>
      <c r="I52" s="246"/>
      <c r="J52" s="246"/>
      <c r="K52" s="246"/>
    </row>
    <row r="53" spans="2:11" ht="15" hidden="1" customHeight="1" x14ac:dyDescent="0.25">
      <c r="B53" s="676"/>
      <c r="C53" s="677"/>
      <c r="D53" s="678"/>
      <c r="E53" s="296"/>
      <c r="F53" s="251"/>
      <c r="G53" s="283"/>
      <c r="H53" s="246"/>
      <c r="I53" s="246"/>
      <c r="J53" s="246"/>
      <c r="K53" s="246"/>
    </row>
    <row r="54" spans="2:11" ht="15" hidden="1" customHeight="1" x14ac:dyDescent="0.25">
      <c r="G54" s="286"/>
    </row>
    <row r="55" spans="2:11" ht="15" hidden="1" customHeight="1" x14ac:dyDescent="0.25">
      <c r="B55" s="243"/>
      <c r="C55" s="243"/>
      <c r="D55" s="243"/>
      <c r="E55" s="243"/>
      <c r="F55" s="243"/>
      <c r="G55" s="243"/>
      <c r="H55" s="243"/>
      <c r="I55" s="243"/>
      <c r="J55" s="243"/>
      <c r="K55" s="243"/>
    </row>
    <row r="56" spans="2:11" ht="15.75" hidden="1" customHeight="1" x14ac:dyDescent="0.25">
      <c r="B56" s="674" t="s">
        <v>51</v>
      </c>
      <c r="C56" s="675"/>
      <c r="D56" s="675"/>
      <c r="E56" s="675"/>
      <c r="F56" s="675"/>
      <c r="G56" s="675"/>
      <c r="H56" s="675"/>
      <c r="I56" s="675"/>
      <c r="J56" s="675"/>
      <c r="K56" s="688"/>
    </row>
    <row r="57" spans="2:11" ht="15" hidden="1" customHeight="1" x14ac:dyDescent="0.25">
      <c r="B57" s="661"/>
      <c r="C57" s="662"/>
      <c r="D57" s="662"/>
      <c r="E57" s="662"/>
      <c r="F57" s="662"/>
      <c r="G57" s="662"/>
      <c r="H57" s="662"/>
      <c r="I57" s="662"/>
      <c r="J57" s="662"/>
      <c r="K57" s="663"/>
    </row>
    <row r="58" spans="2:11" ht="15" hidden="1" customHeight="1" x14ac:dyDescent="0.25">
      <c r="B58" s="661"/>
      <c r="C58" s="662"/>
      <c r="D58" s="662"/>
      <c r="E58" s="662"/>
      <c r="F58" s="662"/>
      <c r="G58" s="662"/>
      <c r="H58" s="662"/>
      <c r="I58" s="662"/>
      <c r="J58" s="662"/>
      <c r="K58" s="663"/>
    </row>
    <row r="59" spans="2:11" ht="15" hidden="1" customHeight="1" x14ac:dyDescent="0.25">
      <c r="B59" s="661"/>
      <c r="C59" s="662"/>
      <c r="D59" s="662"/>
      <c r="E59" s="662"/>
      <c r="F59" s="662"/>
      <c r="G59" s="662"/>
      <c r="H59" s="662"/>
      <c r="I59" s="662"/>
      <c r="J59" s="662"/>
      <c r="K59" s="663"/>
    </row>
    <row r="60" spans="2:11" ht="15" hidden="1" customHeight="1" x14ac:dyDescent="0.25"/>
    <row r="61" spans="2:11" ht="15" hidden="1" customHeight="1" x14ac:dyDescent="0.25"/>
    <row r="62" spans="2:11" ht="15.75" hidden="1" customHeight="1" thickBot="1" x14ac:dyDescent="0.3">
      <c r="B62" s="265" t="s">
        <v>36</v>
      </c>
      <c r="C62" s="664" t="s">
        <v>120</v>
      </c>
      <c r="D62" s="665"/>
      <c r="E62" s="665"/>
      <c r="F62" s="665"/>
      <c r="G62" s="665"/>
      <c r="H62" s="665"/>
      <c r="I62" s="665"/>
      <c r="J62" s="665"/>
      <c r="K62" s="273"/>
    </row>
    <row r="63" spans="2:11" ht="15" hidden="1" customHeight="1" x14ac:dyDescent="0.25">
      <c r="B63" s="274"/>
      <c r="C63" s="735" t="s">
        <v>42</v>
      </c>
      <c r="E63" s="736"/>
      <c r="F63" s="297"/>
      <c r="G63" s="297"/>
      <c r="H63" s="297"/>
      <c r="I63" s="297"/>
      <c r="J63" s="297"/>
      <c r="K63" s="288"/>
    </row>
    <row r="64" spans="2:11" ht="15" hidden="1" customHeight="1" x14ac:dyDescent="0.25">
      <c r="B64" s="274"/>
      <c r="C64" s="684"/>
      <c r="D64" s="289">
        <f>E51*E52</f>
        <v>12230.4</v>
      </c>
      <c r="E64" s="686"/>
      <c r="F64" s="255"/>
      <c r="G64" s="255"/>
      <c r="H64" s="255"/>
      <c r="I64" s="255"/>
      <c r="J64" s="255"/>
      <c r="K64" s="290"/>
    </row>
    <row r="65" spans="2:11" ht="15.75" hidden="1" customHeight="1" thickBot="1" x14ac:dyDescent="0.3">
      <c r="B65" s="274"/>
      <c r="C65" s="685"/>
      <c r="D65" s="291"/>
      <c r="E65" s="687"/>
      <c r="F65" s="292"/>
      <c r="G65" s="292"/>
      <c r="H65" s="292"/>
      <c r="I65" s="292"/>
      <c r="J65" s="292"/>
      <c r="K65" s="293"/>
    </row>
    <row r="66" spans="2:11" ht="15" hidden="1" customHeight="1" x14ac:dyDescent="0.25"/>
  </sheetData>
  <sheetProtection password="DCA2" sheet="1" objects="1" scenarios="1"/>
  <mergeCells count="61">
    <mergeCell ref="B14:D14"/>
    <mergeCell ref="B15:D15"/>
    <mergeCell ref="B16:D16"/>
    <mergeCell ref="B17:D17"/>
    <mergeCell ref="B1:J1"/>
    <mergeCell ref="C4:K4"/>
    <mergeCell ref="C5:K5"/>
    <mergeCell ref="C6:K6"/>
    <mergeCell ref="B12:D12"/>
    <mergeCell ref="B13:D13"/>
    <mergeCell ref="E7:K7"/>
    <mergeCell ref="E8:K8"/>
    <mergeCell ref="E9:K9"/>
    <mergeCell ref="E10:K10"/>
    <mergeCell ref="B7:B10"/>
    <mergeCell ref="H13:K13"/>
    <mergeCell ref="B18:D18"/>
    <mergeCell ref="B19:D19"/>
    <mergeCell ref="B20:D20"/>
    <mergeCell ref="B21:D21"/>
    <mergeCell ref="B22:D22"/>
    <mergeCell ref="B23:D23"/>
    <mergeCell ref="B24:D24"/>
    <mergeCell ref="B27:K27"/>
    <mergeCell ref="B28:K28"/>
    <mergeCell ref="B29:K29"/>
    <mergeCell ref="H24:K24"/>
    <mergeCell ref="B30:K30"/>
    <mergeCell ref="B51:D51"/>
    <mergeCell ref="C33:D33"/>
    <mergeCell ref="H33:K33"/>
    <mergeCell ref="C34:D34"/>
    <mergeCell ref="H34:K34"/>
    <mergeCell ref="C42:D42"/>
    <mergeCell ref="B48:D48"/>
    <mergeCell ref="B50:D50"/>
    <mergeCell ref="C32:F32"/>
    <mergeCell ref="C37:G37"/>
    <mergeCell ref="D39:G39"/>
    <mergeCell ref="D38:G38"/>
    <mergeCell ref="D40:G40"/>
    <mergeCell ref="D41:G41"/>
    <mergeCell ref="C63:C65"/>
    <mergeCell ref="E63:E65"/>
    <mergeCell ref="B52:D52"/>
    <mergeCell ref="B53:D53"/>
    <mergeCell ref="B56:K56"/>
    <mergeCell ref="B57:K57"/>
    <mergeCell ref="B58:K58"/>
    <mergeCell ref="B59:K59"/>
    <mergeCell ref="C62:J62"/>
    <mergeCell ref="H14:K14"/>
    <mergeCell ref="H15:K15"/>
    <mergeCell ref="H16:K16"/>
    <mergeCell ref="H17:K17"/>
    <mergeCell ref="H18:K18"/>
    <mergeCell ref="H19:K19"/>
    <mergeCell ref="H20:K20"/>
    <mergeCell ref="H21:K21"/>
    <mergeCell ref="H22:K22"/>
    <mergeCell ref="H23:K23"/>
  </mergeCells>
  <dataValidations count="1">
    <dataValidation type="list" allowBlank="1" showInputMessage="1" showErrorMessage="1" sqref="C8:C10">
      <formula1>ImpOptions</formula1>
    </dataValidation>
  </dataValidations>
  <pageMargins left="0.7" right="0.7" top="0.75" bottom="0.75" header="0.3" footer="0.3"/>
  <pageSetup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P36"/>
  <sheetViews>
    <sheetView workbookViewId="0">
      <selection activeCell="B3" sqref="B3"/>
    </sheetView>
  </sheetViews>
  <sheetFormatPr defaultColWidth="9.140625" defaultRowHeight="15" x14ac:dyDescent="0.25"/>
  <cols>
    <col min="1" max="1" width="2.140625" style="233" customWidth="1"/>
    <col min="2" max="2" width="21.85546875" style="233" customWidth="1"/>
    <col min="3" max="6" width="15.7109375" style="233" customWidth="1"/>
    <col min="7" max="7" width="16.7109375" style="233" customWidth="1"/>
    <col min="8" max="10" width="15.7109375" style="233" customWidth="1"/>
    <col min="11" max="11" width="16.5703125" style="233" customWidth="1"/>
    <col min="12" max="15" width="15.7109375" style="233" customWidth="1"/>
    <col min="16" max="16384" width="9.140625" style="233"/>
  </cols>
  <sheetData>
    <row r="1" spans="2:42" ht="26.25" x14ac:dyDescent="0.25">
      <c r="B1" s="706" t="s">
        <v>388</v>
      </c>
      <c r="C1" s="706"/>
      <c r="D1" s="706"/>
      <c r="E1" s="706"/>
      <c r="F1" s="706"/>
      <c r="G1" s="706"/>
      <c r="H1" s="706"/>
      <c r="I1" s="706"/>
      <c r="J1" s="706"/>
    </row>
    <row r="3" spans="2:42" ht="15" customHeight="1" thickBot="1" x14ac:dyDescent="0.3">
      <c r="B3" s="336">
        <v>41613</v>
      </c>
      <c r="C3" s="235" t="s">
        <v>412</v>
      </c>
    </row>
    <row r="4" spans="2:42" ht="18.600000000000001" customHeight="1" x14ac:dyDescent="0.25">
      <c r="B4" s="371" t="s">
        <v>15</v>
      </c>
      <c r="C4" s="724" t="s">
        <v>286</v>
      </c>
      <c r="D4" s="725"/>
      <c r="E4" s="725"/>
      <c r="F4" s="725"/>
      <c r="G4" s="725"/>
      <c r="H4" s="725"/>
      <c r="I4" s="725"/>
      <c r="J4" s="793"/>
      <c r="K4" s="794"/>
    </row>
    <row r="5" spans="2:42" x14ac:dyDescent="0.25">
      <c r="B5" s="372" t="s">
        <v>0</v>
      </c>
      <c r="C5" s="786" t="s">
        <v>1</v>
      </c>
      <c r="D5" s="787"/>
      <c r="E5" s="787"/>
      <c r="F5" s="787"/>
      <c r="G5" s="787"/>
      <c r="H5" s="787"/>
      <c r="I5" s="787"/>
      <c r="J5" s="787"/>
      <c r="K5" s="788"/>
    </row>
    <row r="6" spans="2:42" ht="27" customHeight="1" thickBot="1" x14ac:dyDescent="0.3">
      <c r="B6" s="373" t="s">
        <v>13</v>
      </c>
      <c r="C6" s="707" t="s">
        <v>424</v>
      </c>
      <c r="D6" s="708"/>
      <c r="E6" s="708"/>
      <c r="F6" s="708"/>
      <c r="G6" s="708"/>
      <c r="H6" s="708"/>
      <c r="I6" s="708"/>
      <c r="J6" s="708"/>
      <c r="K6" s="709"/>
    </row>
    <row r="7" spans="2:42" ht="18.600000000000001" customHeight="1" x14ac:dyDescent="0.25">
      <c r="B7" s="714" t="s">
        <v>553</v>
      </c>
      <c r="C7" s="240" t="s">
        <v>414</v>
      </c>
      <c r="D7" s="240" t="s">
        <v>413</v>
      </c>
      <c r="E7" s="594" t="s">
        <v>421</v>
      </c>
      <c r="F7" s="594"/>
      <c r="G7" s="594"/>
      <c r="H7" s="594"/>
      <c r="I7" s="594"/>
      <c r="J7" s="594"/>
      <c r="K7" s="595"/>
    </row>
    <row r="8" spans="2:42" ht="27.6" customHeight="1" thickBot="1" x14ac:dyDescent="0.3">
      <c r="B8" s="792"/>
      <c r="C8" s="231" t="s">
        <v>442</v>
      </c>
      <c r="D8" s="242">
        <v>2014</v>
      </c>
      <c r="E8" s="789" t="s">
        <v>437</v>
      </c>
      <c r="F8" s="790"/>
      <c r="G8" s="790"/>
      <c r="H8" s="790"/>
      <c r="I8" s="790"/>
      <c r="J8" s="790"/>
      <c r="K8" s="791"/>
    </row>
    <row r="9" spans="2:42" x14ac:dyDescent="0.25">
      <c r="C9" s="33"/>
      <c r="E9" s="246"/>
      <c r="F9" s="202"/>
      <c r="G9" s="246"/>
    </row>
    <row r="10" spans="2:42" ht="15.75" customHeight="1" thickBot="1" x14ac:dyDescent="0.3">
      <c r="B10" s="713" t="s">
        <v>26</v>
      </c>
      <c r="C10" s="713"/>
      <c r="D10" s="713"/>
      <c r="E10" s="246"/>
      <c r="F10" s="246"/>
      <c r="G10" s="246"/>
      <c r="H10" s="246"/>
      <c r="I10" s="246"/>
      <c r="J10" s="250"/>
      <c r="K10" s="250"/>
      <c r="L10" s="250"/>
      <c r="M10" s="250"/>
      <c r="N10" s="250"/>
      <c r="O10" s="250"/>
      <c r="P10" s="250"/>
      <c r="Q10" s="250"/>
      <c r="R10" s="246"/>
      <c r="S10" s="246"/>
      <c r="T10" s="246"/>
      <c r="U10" s="246"/>
      <c r="V10" s="246"/>
      <c r="W10" s="246"/>
      <c r="X10" s="246"/>
      <c r="Y10" s="246"/>
      <c r="Z10" s="246"/>
      <c r="AA10" s="246"/>
      <c r="AB10" s="246"/>
      <c r="AC10" s="246"/>
      <c r="AD10" s="246"/>
      <c r="AE10" s="246"/>
      <c r="AF10" s="246"/>
      <c r="AG10" s="246"/>
    </row>
    <row r="11" spans="2:42" ht="15" customHeight="1" x14ac:dyDescent="0.25">
      <c r="B11" s="783" t="s">
        <v>27</v>
      </c>
      <c r="C11" s="784"/>
      <c r="D11" s="785"/>
      <c r="E11" s="360" t="s">
        <v>28</v>
      </c>
      <c r="F11" s="360" t="s">
        <v>29</v>
      </c>
      <c r="G11" s="360" t="s">
        <v>30</v>
      </c>
      <c r="H11" s="762" t="s">
        <v>395</v>
      </c>
      <c r="I11" s="763"/>
      <c r="J11" s="763"/>
      <c r="K11" s="764"/>
      <c r="L11" s="250"/>
      <c r="M11" s="250"/>
      <c r="N11" s="250"/>
      <c r="O11" s="250"/>
      <c r="P11" s="250"/>
      <c r="Q11" s="250"/>
      <c r="R11" s="250"/>
      <c r="S11" s="246"/>
      <c r="T11" s="246"/>
      <c r="U11" s="246"/>
      <c r="V11" s="246"/>
      <c r="W11" s="246"/>
      <c r="X11" s="246"/>
      <c r="Y11" s="246"/>
      <c r="Z11" s="246"/>
      <c r="AA11" s="246"/>
      <c r="AB11" s="246"/>
      <c r="AC11" s="246"/>
      <c r="AD11" s="246"/>
      <c r="AE11" s="246"/>
      <c r="AF11" s="246"/>
      <c r="AG11" s="246"/>
    </row>
    <row r="12" spans="2:42" ht="30.6" customHeight="1" x14ac:dyDescent="0.3">
      <c r="B12" s="775" t="s">
        <v>504</v>
      </c>
      <c r="C12" s="776"/>
      <c r="D12" s="777"/>
      <c r="E12" s="86">
        <v>0</v>
      </c>
      <c r="F12" s="251" t="s">
        <v>63</v>
      </c>
      <c r="G12" s="256" t="s">
        <v>71</v>
      </c>
      <c r="H12" s="733" t="s">
        <v>613</v>
      </c>
      <c r="I12" s="733"/>
      <c r="J12" s="733"/>
      <c r="K12" s="734"/>
      <c r="L12" s="250"/>
      <c r="M12" s="250"/>
      <c r="N12" s="250"/>
      <c r="O12" s="250"/>
      <c r="P12" s="250"/>
      <c r="Q12" s="250"/>
      <c r="R12" s="250"/>
    </row>
    <row r="13" spans="2:42" ht="17.25" customHeight="1" x14ac:dyDescent="0.25">
      <c r="B13" s="775" t="s">
        <v>463</v>
      </c>
      <c r="C13" s="776"/>
      <c r="D13" s="777"/>
      <c r="E13" s="298">
        <v>0.05</v>
      </c>
      <c r="F13" s="251" t="s">
        <v>65</v>
      </c>
      <c r="G13" s="252" t="s">
        <v>31</v>
      </c>
      <c r="H13" s="769" t="s">
        <v>466</v>
      </c>
      <c r="I13" s="770"/>
      <c r="J13" s="770"/>
      <c r="K13" s="771"/>
      <c r="L13" s="255"/>
      <c r="M13" s="255"/>
      <c r="N13" s="255"/>
      <c r="O13" s="255"/>
      <c r="P13" s="255"/>
      <c r="Q13" s="255"/>
      <c r="R13" s="255"/>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row>
    <row r="14" spans="2:42" ht="17.25" customHeight="1" x14ac:dyDescent="0.25">
      <c r="B14" s="775" t="s">
        <v>462</v>
      </c>
      <c r="C14" s="776"/>
      <c r="D14" s="777"/>
      <c r="E14" s="298">
        <v>0.05</v>
      </c>
      <c r="F14" s="251" t="s">
        <v>65</v>
      </c>
      <c r="G14" s="256" t="s">
        <v>32</v>
      </c>
      <c r="H14" s="769" t="s">
        <v>467</v>
      </c>
      <c r="I14" s="770"/>
      <c r="J14" s="770"/>
      <c r="K14" s="771"/>
      <c r="L14" s="255"/>
      <c r="M14" s="255"/>
      <c r="N14" s="255"/>
      <c r="O14" s="255"/>
      <c r="P14" s="255"/>
      <c r="Q14" s="255"/>
      <c r="R14" s="255"/>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row>
    <row r="15" spans="2:42" ht="30.75" customHeight="1" x14ac:dyDescent="0.25">
      <c r="B15" s="772" t="s">
        <v>123</v>
      </c>
      <c r="C15" s="773"/>
      <c r="D15" s="774"/>
      <c r="E15" s="162">
        <f>'Common Factors'!D61</f>
        <v>2.65</v>
      </c>
      <c r="F15" s="251" t="s">
        <v>4</v>
      </c>
      <c r="G15" s="256" t="s">
        <v>67</v>
      </c>
      <c r="H15" s="769"/>
      <c r="I15" s="770"/>
      <c r="J15" s="770"/>
      <c r="K15" s="771"/>
    </row>
    <row r="16" spans="2:42" ht="32.25" customHeight="1" x14ac:dyDescent="0.25">
      <c r="B16" s="772" t="s">
        <v>284</v>
      </c>
      <c r="C16" s="773"/>
      <c r="D16" s="774"/>
      <c r="E16" s="162">
        <f>'Common Factors'!D62</f>
        <v>1.8258704137392663</v>
      </c>
      <c r="F16" s="251" t="s">
        <v>5</v>
      </c>
      <c r="G16" s="256" t="s">
        <v>68</v>
      </c>
      <c r="H16" s="769"/>
      <c r="I16" s="770"/>
      <c r="J16" s="770"/>
      <c r="K16" s="771"/>
    </row>
    <row r="17" spans="2:11" ht="15" customHeight="1" x14ac:dyDescent="0.25">
      <c r="B17" s="775" t="s">
        <v>98</v>
      </c>
      <c r="C17" s="776"/>
      <c r="D17" s="777"/>
      <c r="E17" s="162">
        <f>'Common Factors'!D17</f>
        <v>0.30935036423510631</v>
      </c>
      <c r="F17" s="251" t="s">
        <v>37</v>
      </c>
      <c r="G17" s="256" t="s">
        <v>40</v>
      </c>
      <c r="H17" s="769"/>
      <c r="I17" s="770"/>
      <c r="J17" s="770"/>
      <c r="K17" s="771" t="s">
        <v>287</v>
      </c>
    </row>
    <row r="18" spans="2:11" ht="15" customHeight="1" x14ac:dyDescent="0.3">
      <c r="B18" s="775" t="s">
        <v>107</v>
      </c>
      <c r="C18" s="776"/>
      <c r="D18" s="777"/>
      <c r="E18" s="162">
        <f>'Common Factors'!D20</f>
        <v>53.02</v>
      </c>
      <c r="F18" s="251" t="s">
        <v>38</v>
      </c>
      <c r="G18" s="256" t="s">
        <v>39</v>
      </c>
      <c r="H18" s="769"/>
      <c r="I18" s="770"/>
      <c r="J18" s="770"/>
      <c r="K18" s="771"/>
    </row>
    <row r="19" spans="2:11" ht="15" customHeight="1" thickBot="1" x14ac:dyDescent="0.35">
      <c r="B19" s="778" t="s">
        <v>124</v>
      </c>
      <c r="C19" s="779"/>
      <c r="D19" s="780"/>
      <c r="E19" s="338">
        <f>'Common Factors'!D80</f>
        <v>0.88</v>
      </c>
      <c r="F19" s="337"/>
      <c r="G19" s="354" t="s">
        <v>125</v>
      </c>
      <c r="H19" s="765"/>
      <c r="I19" s="766"/>
      <c r="J19" s="766"/>
      <c r="K19" s="767"/>
    </row>
    <row r="20" spans="2:11" thickBot="1" x14ac:dyDescent="0.35"/>
    <row r="21" spans="2:11" ht="15" customHeight="1" x14ac:dyDescent="0.3">
      <c r="B21" s="747" t="s">
        <v>25</v>
      </c>
      <c r="C21" s="748"/>
      <c r="D21" s="748"/>
      <c r="E21" s="748"/>
      <c r="F21" s="748"/>
      <c r="G21" s="748"/>
      <c r="H21" s="748"/>
      <c r="I21" s="748"/>
      <c r="J21" s="748"/>
      <c r="K21" s="749"/>
    </row>
    <row r="22" spans="2:11" ht="15" customHeight="1" x14ac:dyDescent="0.3">
      <c r="B22" s="750" t="s">
        <v>45</v>
      </c>
      <c r="C22" s="662"/>
      <c r="D22" s="662"/>
      <c r="E22" s="662"/>
      <c r="F22" s="662"/>
      <c r="G22" s="662"/>
      <c r="H22" s="662"/>
      <c r="I22" s="662"/>
      <c r="J22" s="662"/>
      <c r="K22" s="751"/>
    </row>
    <row r="23" spans="2:11" ht="15" customHeight="1" thickBot="1" x14ac:dyDescent="0.35">
      <c r="B23" s="737" t="s">
        <v>50</v>
      </c>
      <c r="C23" s="738"/>
      <c r="D23" s="738"/>
      <c r="E23" s="738"/>
      <c r="F23" s="738"/>
      <c r="G23" s="738"/>
      <c r="H23" s="738"/>
      <c r="I23" s="738"/>
      <c r="J23" s="738"/>
      <c r="K23" s="739"/>
    </row>
    <row r="24" spans="2:11" ht="20.45" customHeight="1" thickBot="1" x14ac:dyDescent="0.35"/>
    <row r="25" spans="2:11" ht="86.45" customHeight="1" x14ac:dyDescent="0.25">
      <c r="B25" s="365" t="s">
        <v>22</v>
      </c>
      <c r="C25" s="742" t="s">
        <v>288</v>
      </c>
      <c r="D25" s="743"/>
      <c r="E25" s="743"/>
      <c r="F25" s="743"/>
      <c r="G25" s="744"/>
      <c r="H25" s="258"/>
      <c r="I25" s="258"/>
      <c r="J25" s="258"/>
      <c r="K25" s="258"/>
    </row>
    <row r="26" spans="2:11" ht="45" customHeight="1" x14ac:dyDescent="0.3">
      <c r="B26" s="265"/>
      <c r="C26" s="781" t="s">
        <v>53</v>
      </c>
      <c r="D26" s="782"/>
      <c r="E26" s="268">
        <f>E13*E12*E15*E19</f>
        <v>0</v>
      </c>
      <c r="F26" s="376" t="s">
        <v>55</v>
      </c>
      <c r="G26" s="321"/>
      <c r="H26" s="691"/>
      <c r="I26" s="691"/>
      <c r="J26" s="691"/>
      <c r="K26" s="691"/>
    </row>
    <row r="27" spans="2:11" ht="45" customHeight="1" thickBot="1" x14ac:dyDescent="0.3">
      <c r="B27" s="265"/>
      <c r="C27" s="685" t="s">
        <v>54</v>
      </c>
      <c r="D27" s="687"/>
      <c r="E27" s="307">
        <f>E14*E12*E16</f>
        <v>0</v>
      </c>
      <c r="F27" s="377" t="s">
        <v>69</v>
      </c>
      <c r="G27" s="271"/>
      <c r="H27" s="691"/>
      <c r="I27" s="691"/>
      <c r="J27" s="691"/>
      <c r="K27" s="691"/>
    </row>
    <row r="28" spans="2:11" ht="19.149999999999999" customHeight="1" thickBot="1" x14ac:dyDescent="0.3">
      <c r="C28" s="272"/>
      <c r="D28" s="272"/>
      <c r="E28" s="272"/>
      <c r="G28" s="246"/>
    </row>
    <row r="29" spans="2:11" ht="30" customHeight="1" x14ac:dyDescent="0.25">
      <c r="B29" s="365" t="s">
        <v>35</v>
      </c>
      <c r="C29" s="768" t="s">
        <v>41</v>
      </c>
      <c r="D29" s="656"/>
      <c r="E29" s="656"/>
      <c r="F29" s="656"/>
      <c r="G29" s="657"/>
      <c r="H29" s="323"/>
      <c r="I29" s="323"/>
      <c r="J29" s="323"/>
      <c r="K29" s="246"/>
    </row>
    <row r="30" spans="2:11" ht="15" customHeight="1" x14ac:dyDescent="0.25">
      <c r="B30" s="274"/>
      <c r="C30" s="275" t="s">
        <v>21</v>
      </c>
      <c r="D30" s="666" t="s">
        <v>8</v>
      </c>
      <c r="E30" s="745"/>
      <c r="F30" s="745"/>
      <c r="G30" s="746"/>
      <c r="H30" s="378"/>
      <c r="I30" s="378"/>
      <c r="J30" s="378"/>
      <c r="K30" s="246"/>
    </row>
    <row r="31" spans="2:11" ht="15" customHeight="1" x14ac:dyDescent="0.25">
      <c r="B31" s="274"/>
      <c r="C31" s="367" t="s">
        <v>555</v>
      </c>
      <c r="D31" s="666" t="s">
        <v>10</v>
      </c>
      <c r="E31" s="745"/>
      <c r="F31" s="745"/>
      <c r="G31" s="746"/>
      <c r="H31" s="323"/>
      <c r="I31" s="323"/>
      <c r="J31" s="323"/>
      <c r="K31" s="246"/>
    </row>
    <row r="32" spans="2:11" ht="15" customHeight="1" x14ac:dyDescent="0.25">
      <c r="B32" s="274"/>
      <c r="C32" s="374">
        <v>1000</v>
      </c>
      <c r="D32" s="666" t="s">
        <v>11</v>
      </c>
      <c r="E32" s="745"/>
      <c r="F32" s="745"/>
      <c r="G32" s="746"/>
      <c r="H32" s="323"/>
      <c r="I32" s="323"/>
      <c r="J32" s="323"/>
      <c r="K32" s="246"/>
    </row>
    <row r="33" spans="2:11" ht="15" customHeight="1" thickBot="1" x14ac:dyDescent="0.3">
      <c r="B33" s="274"/>
      <c r="C33" s="369">
        <v>10</v>
      </c>
      <c r="D33" s="666" t="s">
        <v>12</v>
      </c>
      <c r="E33" s="745"/>
      <c r="F33" s="745"/>
      <c r="G33" s="746"/>
      <c r="H33" s="323"/>
      <c r="I33" s="323"/>
      <c r="J33" s="323"/>
      <c r="K33" s="246"/>
    </row>
    <row r="34" spans="2:11" ht="45" customHeight="1" thickBot="1" x14ac:dyDescent="0.3">
      <c r="B34" s="274"/>
      <c r="C34" s="672" t="s">
        <v>20</v>
      </c>
      <c r="D34" s="673"/>
      <c r="E34" s="299">
        <f>((E26/1000)*E17)+((E27/10)*(E18/1000))</f>
        <v>0</v>
      </c>
      <c r="F34" s="277" t="s">
        <v>72</v>
      </c>
      <c r="G34" s="278"/>
      <c r="H34" s="255"/>
      <c r="I34" s="255"/>
      <c r="J34" s="255"/>
      <c r="K34" s="255"/>
    </row>
    <row r="35" spans="2:11" x14ac:dyDescent="0.25">
      <c r="C35" s="246"/>
      <c r="D35" s="246"/>
      <c r="E35" s="246"/>
      <c r="F35" s="246"/>
      <c r="G35" s="246"/>
      <c r="H35" s="246"/>
      <c r="I35" s="246"/>
      <c r="J35" s="246"/>
      <c r="K35" s="246"/>
    </row>
    <row r="36" spans="2:11" x14ac:dyDescent="0.25">
      <c r="C36" s="246"/>
      <c r="D36" s="246"/>
      <c r="E36" s="246"/>
      <c r="F36" s="246"/>
      <c r="G36" s="246"/>
      <c r="H36" s="246"/>
      <c r="I36" s="246"/>
      <c r="J36" s="246"/>
      <c r="K36" s="246"/>
    </row>
  </sheetData>
  <sheetProtection password="DCA2" sheet="1" objects="1" scenarios="1"/>
  <mergeCells count="40">
    <mergeCell ref="B1:J1"/>
    <mergeCell ref="C5:K5"/>
    <mergeCell ref="C6:K6"/>
    <mergeCell ref="B10:D10"/>
    <mergeCell ref="E7:K7"/>
    <mergeCell ref="E8:K8"/>
    <mergeCell ref="B7:B8"/>
    <mergeCell ref="C4:K4"/>
    <mergeCell ref="B11:D11"/>
    <mergeCell ref="B12:D12"/>
    <mergeCell ref="B13:D13"/>
    <mergeCell ref="B14:D14"/>
    <mergeCell ref="B15:D15"/>
    <mergeCell ref="C34:D34"/>
    <mergeCell ref="D32:G32"/>
    <mergeCell ref="D33:G33"/>
    <mergeCell ref="B16:D16"/>
    <mergeCell ref="C27:D27"/>
    <mergeCell ref="B17:D17"/>
    <mergeCell ref="B18:D18"/>
    <mergeCell ref="B19:D19"/>
    <mergeCell ref="B21:K21"/>
    <mergeCell ref="B22:K22"/>
    <mergeCell ref="B23:K23"/>
    <mergeCell ref="C26:D26"/>
    <mergeCell ref="H26:K26"/>
    <mergeCell ref="H16:K16"/>
    <mergeCell ref="H17:K17"/>
    <mergeCell ref="H18:K18"/>
    <mergeCell ref="H11:K11"/>
    <mergeCell ref="H12:K12"/>
    <mergeCell ref="H13:K13"/>
    <mergeCell ref="H14:K14"/>
    <mergeCell ref="H15:K15"/>
    <mergeCell ref="H19:K19"/>
    <mergeCell ref="C25:G25"/>
    <mergeCell ref="C29:G29"/>
    <mergeCell ref="D30:G30"/>
    <mergeCell ref="D31:G31"/>
    <mergeCell ref="H27:K27"/>
  </mergeCells>
  <dataValidations count="1">
    <dataValidation type="list" allowBlank="1" showInputMessage="1" showErrorMessage="1" sqref="C8">
      <formula1>ImpOptions</formula1>
    </dataValidation>
  </dataValidations>
  <pageMargins left="0.7" right="0.7" top="0.75" bottom="0.75" header="0.3" footer="0.3"/>
  <pageSetup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73"/>
  <sheetViews>
    <sheetView zoomScaleNormal="100" workbookViewId="0">
      <selection activeCell="B3" sqref="B3"/>
    </sheetView>
  </sheetViews>
  <sheetFormatPr defaultColWidth="9.140625" defaultRowHeight="15" x14ac:dyDescent="0.25"/>
  <cols>
    <col min="1" max="1" width="1.7109375" style="233" customWidth="1"/>
    <col min="2" max="2" width="23.85546875" style="233" customWidth="1"/>
    <col min="3" max="3" width="15.7109375" style="233" customWidth="1"/>
    <col min="4" max="4" width="16.7109375" style="233" customWidth="1"/>
    <col min="5" max="5" width="13.140625" style="233" customWidth="1"/>
    <col min="6" max="6" width="14" style="233" customWidth="1"/>
    <col min="7" max="7" width="16.7109375" style="233" customWidth="1"/>
    <col min="8" max="8" width="15.7109375" style="233" customWidth="1"/>
    <col min="9" max="9" width="16.5703125" style="233" customWidth="1"/>
    <col min="10" max="10" width="15.7109375" style="233" customWidth="1"/>
    <col min="11" max="11" width="18.7109375" style="233" customWidth="1"/>
    <col min="12" max="16" width="15.7109375" style="233" customWidth="1"/>
    <col min="17" max="16384" width="9.140625" style="233"/>
  </cols>
  <sheetData>
    <row r="1" spans="2:16" ht="26.25" x14ac:dyDescent="0.25">
      <c r="B1" s="706" t="s">
        <v>389</v>
      </c>
      <c r="C1" s="706"/>
      <c r="D1" s="706"/>
      <c r="E1" s="706"/>
      <c r="F1" s="706"/>
      <c r="G1" s="706"/>
      <c r="H1" s="706"/>
      <c r="I1" s="706"/>
      <c r="J1" s="706"/>
    </row>
    <row r="2" spans="2:16" ht="13.9" customHeight="1" x14ac:dyDescent="0.25">
      <c r="B2" s="234"/>
      <c r="C2" s="234"/>
      <c r="D2" s="234"/>
      <c r="E2" s="234"/>
      <c r="F2" s="234"/>
      <c r="G2" s="234"/>
      <c r="H2" s="234"/>
      <c r="I2" s="234"/>
      <c r="J2" s="234"/>
    </row>
    <row r="3" spans="2:16" ht="15" customHeight="1" thickBot="1" x14ac:dyDescent="0.3">
      <c r="B3" s="336">
        <v>41613</v>
      </c>
      <c r="C3" s="235" t="s">
        <v>412</v>
      </c>
    </row>
    <row r="4" spans="2:16" ht="20.45" customHeight="1" x14ac:dyDescent="0.25">
      <c r="B4" s="236" t="s">
        <v>15</v>
      </c>
      <c r="C4" s="724" t="s">
        <v>289</v>
      </c>
      <c r="D4" s="725"/>
      <c r="E4" s="725"/>
      <c r="F4" s="725"/>
      <c r="G4" s="725"/>
      <c r="H4" s="725"/>
      <c r="I4" s="725"/>
      <c r="J4" s="656"/>
      <c r="K4" s="657"/>
    </row>
    <row r="5" spans="2:16" x14ac:dyDescent="0.25">
      <c r="B5" s="237" t="s">
        <v>0</v>
      </c>
      <c r="C5" s="786" t="s">
        <v>1</v>
      </c>
      <c r="D5" s="787"/>
      <c r="E5" s="787"/>
      <c r="F5" s="787"/>
      <c r="G5" s="787"/>
      <c r="H5" s="787"/>
      <c r="I5" s="787"/>
      <c r="J5" s="787"/>
      <c r="K5" s="788"/>
    </row>
    <row r="6" spans="2:16" ht="28.15" customHeight="1" thickBot="1" x14ac:dyDescent="0.3">
      <c r="B6" s="238" t="s">
        <v>13</v>
      </c>
      <c r="C6" s="800" t="s">
        <v>482</v>
      </c>
      <c r="D6" s="801"/>
      <c r="E6" s="801"/>
      <c r="F6" s="801"/>
      <c r="G6" s="801"/>
      <c r="H6" s="801"/>
      <c r="I6" s="801"/>
      <c r="J6" s="801"/>
      <c r="K6" s="802"/>
      <c r="L6" s="300"/>
    </row>
    <row r="7" spans="2:16" ht="20.45" customHeight="1" x14ac:dyDescent="0.25">
      <c r="B7" s="803" t="s">
        <v>554</v>
      </c>
      <c r="C7" s="240" t="s">
        <v>414</v>
      </c>
      <c r="D7" s="240" t="s">
        <v>413</v>
      </c>
      <c r="E7" s="717" t="s">
        <v>421</v>
      </c>
      <c r="F7" s="718"/>
      <c r="G7" s="718"/>
      <c r="H7" s="718"/>
      <c r="I7" s="718"/>
      <c r="J7" s="718"/>
      <c r="K7" s="719"/>
    </row>
    <row r="8" spans="2:16" ht="28.5" customHeight="1" x14ac:dyDescent="0.25">
      <c r="B8" s="804"/>
      <c r="C8" s="228" t="s">
        <v>443</v>
      </c>
      <c r="D8" s="370">
        <v>2014</v>
      </c>
      <c r="E8" s="710" t="s">
        <v>438</v>
      </c>
      <c r="F8" s="711"/>
      <c r="G8" s="711"/>
      <c r="H8" s="711"/>
      <c r="I8" s="711"/>
      <c r="J8" s="711"/>
      <c r="K8" s="712"/>
    </row>
    <row r="9" spans="2:16" ht="27" customHeight="1" x14ac:dyDescent="0.25">
      <c r="B9" s="804"/>
      <c r="C9" s="228" t="s">
        <v>442</v>
      </c>
      <c r="D9" s="241">
        <v>2014</v>
      </c>
      <c r="E9" s="596" t="s">
        <v>439</v>
      </c>
      <c r="F9" s="720"/>
      <c r="G9" s="720"/>
      <c r="H9" s="720"/>
      <c r="I9" s="720"/>
      <c r="J9" s="720"/>
      <c r="K9" s="721"/>
    </row>
    <row r="10" spans="2:16" ht="27" customHeight="1" x14ac:dyDescent="0.25">
      <c r="B10" s="804"/>
      <c r="C10" s="228" t="s">
        <v>443</v>
      </c>
      <c r="D10" s="241">
        <v>2014</v>
      </c>
      <c r="E10" s="596" t="s">
        <v>440</v>
      </c>
      <c r="F10" s="720"/>
      <c r="G10" s="720"/>
      <c r="H10" s="720"/>
      <c r="I10" s="720"/>
      <c r="J10" s="720"/>
      <c r="K10" s="721"/>
    </row>
    <row r="11" spans="2:16" ht="29.45" customHeight="1" thickBot="1" x14ac:dyDescent="0.3">
      <c r="B11" s="805"/>
      <c r="C11" s="231" t="s">
        <v>443</v>
      </c>
      <c r="D11" s="242">
        <v>2014</v>
      </c>
      <c r="E11" s="599" t="s">
        <v>441</v>
      </c>
      <c r="F11" s="722"/>
      <c r="G11" s="722"/>
      <c r="H11" s="722"/>
      <c r="I11" s="722"/>
      <c r="J11" s="722"/>
      <c r="K11" s="723"/>
    </row>
    <row r="12" spans="2:16" ht="15" customHeight="1" x14ac:dyDescent="0.25">
      <c r="C12" s="33"/>
      <c r="E12" s="246"/>
      <c r="F12" s="202"/>
      <c r="G12" s="246"/>
      <c r="H12" s="255"/>
      <c r="I12" s="255"/>
      <c r="J12" s="255"/>
      <c r="K12" s="255"/>
      <c r="L12" s="255"/>
      <c r="M12" s="255"/>
      <c r="N12" s="255"/>
      <c r="O12" s="255"/>
    </row>
    <row r="13" spans="2:16" ht="16.5" thickBot="1" x14ac:dyDescent="0.3">
      <c r="B13" s="713" t="s">
        <v>26</v>
      </c>
      <c r="C13" s="713"/>
      <c r="D13" s="713"/>
      <c r="E13" s="246"/>
      <c r="F13" s="246"/>
      <c r="G13" s="246"/>
      <c r="H13" s="255"/>
      <c r="I13" s="255"/>
      <c r="J13" s="255"/>
      <c r="K13" s="255"/>
      <c r="L13" s="255"/>
      <c r="M13" s="255"/>
      <c r="N13" s="255"/>
      <c r="O13" s="255"/>
    </row>
    <row r="14" spans="2:16" ht="15" customHeight="1" x14ac:dyDescent="0.25">
      <c r="B14" s="783" t="s">
        <v>27</v>
      </c>
      <c r="C14" s="784"/>
      <c r="D14" s="785"/>
      <c r="E14" s="360" t="s">
        <v>28</v>
      </c>
      <c r="F14" s="360" t="s">
        <v>29</v>
      </c>
      <c r="G14" s="360" t="s">
        <v>30</v>
      </c>
      <c r="H14" s="762" t="s">
        <v>395</v>
      </c>
      <c r="I14" s="763"/>
      <c r="J14" s="763"/>
      <c r="K14" s="764"/>
    </row>
    <row r="15" spans="2:16" ht="15" customHeight="1" x14ac:dyDescent="0.25">
      <c r="B15" s="775" t="s">
        <v>290</v>
      </c>
      <c r="C15" s="776"/>
      <c r="D15" s="777"/>
      <c r="E15" s="379">
        <f>'Common Factors'!D28*'Common Factors'!D59</f>
        <v>10485352.948979776</v>
      </c>
      <c r="F15" s="251" t="s">
        <v>55</v>
      </c>
      <c r="G15" s="252" t="s">
        <v>291</v>
      </c>
      <c r="H15" s="731"/>
      <c r="I15" s="731"/>
      <c r="J15" s="731"/>
      <c r="K15" s="732"/>
    </row>
    <row r="16" spans="2:16" ht="17.25" customHeight="1" x14ac:dyDescent="0.25">
      <c r="B16" s="775" t="s">
        <v>292</v>
      </c>
      <c r="C16" s="776"/>
      <c r="D16" s="777"/>
      <c r="E16" s="379">
        <f>'Common Factors'!D28*'Common Factors'!D60</f>
        <v>1210506.8972995975</v>
      </c>
      <c r="F16" s="251" t="s">
        <v>56</v>
      </c>
      <c r="G16" s="256" t="s">
        <v>293</v>
      </c>
      <c r="H16" s="731"/>
      <c r="I16" s="731"/>
      <c r="J16" s="731"/>
      <c r="K16" s="732"/>
      <c r="L16" s="301"/>
      <c r="M16" s="301"/>
      <c r="N16" s="301"/>
      <c r="O16" s="301"/>
      <c r="P16" s="301"/>
    </row>
    <row r="17" spans="2:27" ht="18" x14ac:dyDescent="0.25">
      <c r="B17" s="775" t="s">
        <v>294</v>
      </c>
      <c r="C17" s="776"/>
      <c r="D17" s="777"/>
      <c r="E17" s="379">
        <f>'Common Factors'!D38</f>
        <v>2550</v>
      </c>
      <c r="F17" s="251" t="s">
        <v>295</v>
      </c>
      <c r="G17" s="256" t="s">
        <v>296</v>
      </c>
      <c r="H17" s="731"/>
      <c r="I17" s="731"/>
      <c r="J17" s="731"/>
      <c r="K17" s="732"/>
    </row>
    <row r="18" spans="2:27" ht="33" customHeight="1" x14ac:dyDescent="0.3">
      <c r="B18" s="775" t="s">
        <v>508</v>
      </c>
      <c r="C18" s="776"/>
      <c r="D18" s="777"/>
      <c r="E18" s="86">
        <v>0</v>
      </c>
      <c r="F18" s="251" t="s">
        <v>295</v>
      </c>
      <c r="G18" s="256" t="s">
        <v>297</v>
      </c>
      <c r="H18" s="733" t="s">
        <v>614</v>
      </c>
      <c r="I18" s="733"/>
      <c r="J18" s="733"/>
      <c r="K18" s="734"/>
      <c r="L18" s="294"/>
      <c r="M18" s="294"/>
      <c r="N18" s="294"/>
      <c r="O18" s="294"/>
      <c r="P18" s="294"/>
      <c r="Q18" s="294"/>
      <c r="R18" s="246"/>
      <c r="S18" s="246"/>
      <c r="T18" s="246"/>
      <c r="U18" s="246"/>
      <c r="V18" s="246"/>
      <c r="W18" s="246"/>
      <c r="X18" s="246"/>
      <c r="Y18" s="246"/>
      <c r="Z18" s="246"/>
      <c r="AA18" s="246"/>
    </row>
    <row r="19" spans="2:27" ht="15.6" x14ac:dyDescent="0.3">
      <c r="B19" s="775" t="s">
        <v>298</v>
      </c>
      <c r="C19" s="776"/>
      <c r="D19" s="777"/>
      <c r="E19" s="379">
        <f>'Common Factors'!D31*'Common Factors'!D61</f>
        <v>1697325</v>
      </c>
      <c r="F19" s="251" t="s">
        <v>55</v>
      </c>
      <c r="G19" s="252" t="s">
        <v>299</v>
      </c>
      <c r="H19" s="731"/>
      <c r="I19" s="731"/>
      <c r="J19" s="731"/>
      <c r="K19" s="732"/>
      <c r="L19" s="294"/>
      <c r="M19" s="294"/>
      <c r="N19" s="294"/>
      <c r="O19" s="294"/>
      <c r="P19" s="294"/>
      <c r="Q19" s="294"/>
      <c r="R19" s="246"/>
      <c r="S19" s="246"/>
      <c r="T19" s="246"/>
      <c r="U19" s="246"/>
      <c r="V19" s="246"/>
      <c r="W19" s="246"/>
      <c r="X19" s="246"/>
      <c r="Y19" s="246"/>
      <c r="Z19" s="246"/>
      <c r="AA19" s="246"/>
    </row>
    <row r="20" spans="2:27" ht="15.6" x14ac:dyDescent="0.3">
      <c r="B20" s="775" t="s">
        <v>300</v>
      </c>
      <c r="C20" s="776"/>
      <c r="D20" s="777"/>
      <c r="E20" s="379">
        <f>'Common Factors'!D31*'Common Factors'!D62</f>
        <v>1169470</v>
      </c>
      <c r="F20" s="251" t="s">
        <v>56</v>
      </c>
      <c r="G20" s="256" t="s">
        <v>301</v>
      </c>
      <c r="H20" s="731"/>
      <c r="I20" s="731"/>
      <c r="J20" s="731"/>
      <c r="K20" s="732"/>
      <c r="L20" s="294"/>
      <c r="M20" s="294"/>
      <c r="N20" s="294"/>
      <c r="O20" s="294"/>
      <c r="P20" s="294"/>
      <c r="Q20" s="294"/>
      <c r="R20" s="246"/>
      <c r="S20" s="246"/>
      <c r="T20" s="246"/>
      <c r="U20" s="246"/>
      <c r="V20" s="246"/>
      <c r="W20" s="246"/>
      <c r="X20" s="246"/>
      <c r="Y20" s="246"/>
      <c r="Z20" s="246"/>
      <c r="AA20" s="246"/>
    </row>
    <row r="21" spans="2:27" ht="15.6" x14ac:dyDescent="0.3">
      <c r="B21" s="775" t="s">
        <v>302</v>
      </c>
      <c r="C21" s="776"/>
      <c r="D21" s="777"/>
      <c r="E21" s="379">
        <f>'Common Factors'!D41</f>
        <v>242</v>
      </c>
      <c r="F21" s="251" t="s">
        <v>303</v>
      </c>
      <c r="G21" s="256" t="s">
        <v>304</v>
      </c>
      <c r="H21" s="731"/>
      <c r="I21" s="731"/>
      <c r="J21" s="731"/>
      <c r="K21" s="732"/>
      <c r="L21" s="294"/>
      <c r="M21" s="294"/>
      <c r="N21" s="294"/>
      <c r="O21" s="294"/>
      <c r="P21" s="294"/>
      <c r="Q21" s="294"/>
      <c r="R21" s="246"/>
      <c r="S21" s="246"/>
      <c r="T21" s="246"/>
      <c r="U21" s="246"/>
      <c r="V21" s="246"/>
      <c r="W21" s="246"/>
      <c r="X21" s="246"/>
      <c r="Y21" s="246"/>
      <c r="Z21" s="246"/>
      <c r="AA21" s="246"/>
    </row>
    <row r="22" spans="2:27" ht="31.5" customHeight="1" x14ac:dyDescent="0.3">
      <c r="B22" s="775" t="s">
        <v>509</v>
      </c>
      <c r="C22" s="776"/>
      <c r="D22" s="777"/>
      <c r="E22" s="86">
        <v>0</v>
      </c>
      <c r="F22" s="251" t="s">
        <v>303</v>
      </c>
      <c r="G22" s="256" t="s">
        <v>305</v>
      </c>
      <c r="H22" s="733" t="s">
        <v>615</v>
      </c>
      <c r="I22" s="733"/>
      <c r="J22" s="733"/>
      <c r="K22" s="734"/>
      <c r="L22" s="294"/>
      <c r="M22" s="294"/>
      <c r="N22" s="294"/>
      <c r="O22" s="294"/>
      <c r="P22" s="294"/>
      <c r="Q22" s="294"/>
      <c r="R22" s="246"/>
      <c r="S22" s="246"/>
      <c r="T22" s="246"/>
      <c r="U22" s="246"/>
      <c r="V22" s="246"/>
      <c r="W22" s="246"/>
      <c r="X22" s="246"/>
      <c r="Y22" s="246"/>
      <c r="Z22" s="246"/>
      <c r="AA22" s="246"/>
    </row>
    <row r="23" spans="2:27" ht="28.9" customHeight="1" x14ac:dyDescent="0.3">
      <c r="B23" s="772" t="s">
        <v>306</v>
      </c>
      <c r="C23" s="773"/>
      <c r="D23" s="774"/>
      <c r="E23" s="302">
        <v>0.95</v>
      </c>
      <c r="F23" s="303"/>
      <c r="G23" s="304">
        <v>0.95</v>
      </c>
      <c r="H23" s="731"/>
      <c r="I23" s="731"/>
      <c r="J23" s="731"/>
      <c r="K23" s="732"/>
    </row>
    <row r="24" spans="2:27" ht="30" customHeight="1" x14ac:dyDescent="0.3">
      <c r="B24" s="775" t="s">
        <v>98</v>
      </c>
      <c r="C24" s="776"/>
      <c r="D24" s="777"/>
      <c r="E24" s="158">
        <f>'Common Factors'!D17</f>
        <v>0.30935036423510631</v>
      </c>
      <c r="F24" s="251" t="s">
        <v>37</v>
      </c>
      <c r="G24" s="256" t="s">
        <v>40</v>
      </c>
      <c r="H24" s="731"/>
      <c r="I24" s="731"/>
      <c r="J24" s="731"/>
      <c r="K24" s="732"/>
    </row>
    <row r="25" spans="2:27" ht="15" customHeight="1" x14ac:dyDescent="0.3">
      <c r="B25" s="775" t="s">
        <v>107</v>
      </c>
      <c r="C25" s="776"/>
      <c r="D25" s="777"/>
      <c r="E25" s="158">
        <f>'Common Factors'!D20</f>
        <v>53.02</v>
      </c>
      <c r="F25" s="251" t="s">
        <v>38</v>
      </c>
      <c r="G25" s="256" t="s">
        <v>39</v>
      </c>
      <c r="H25" s="731"/>
      <c r="I25" s="731"/>
      <c r="J25" s="731"/>
      <c r="K25" s="732"/>
    </row>
    <row r="26" spans="2:27" ht="15" customHeight="1" x14ac:dyDescent="0.3">
      <c r="B26" s="775" t="s">
        <v>469</v>
      </c>
      <c r="C26" s="776"/>
      <c r="D26" s="777"/>
      <c r="E26" s="86">
        <v>0</v>
      </c>
      <c r="F26" s="251" t="s">
        <v>499</v>
      </c>
      <c r="G26" s="256" t="s">
        <v>307</v>
      </c>
      <c r="H26" s="733" t="s">
        <v>472</v>
      </c>
      <c r="I26" s="733"/>
      <c r="J26" s="733"/>
      <c r="K26" s="734"/>
    </row>
    <row r="27" spans="2:27" ht="15" customHeight="1" thickBot="1" x14ac:dyDescent="0.35">
      <c r="B27" s="778" t="s">
        <v>124</v>
      </c>
      <c r="C27" s="779"/>
      <c r="D27" s="780"/>
      <c r="E27" s="338">
        <f>'Common Factors'!D80</f>
        <v>0.88</v>
      </c>
      <c r="F27" s="337"/>
      <c r="G27" s="354" t="s">
        <v>125</v>
      </c>
      <c r="H27" s="752"/>
      <c r="I27" s="752"/>
      <c r="J27" s="752"/>
      <c r="K27" s="753"/>
    </row>
    <row r="28" spans="2:27" ht="15.75" thickBot="1" x14ac:dyDescent="0.3">
      <c r="B28" s="262"/>
      <c r="C28" s="246"/>
      <c r="D28" s="246"/>
      <c r="E28" s="246"/>
      <c r="F28" s="246"/>
      <c r="G28" s="246"/>
      <c r="H28" s="246"/>
      <c r="I28" s="246"/>
      <c r="J28" s="246"/>
      <c r="K28" s="246"/>
    </row>
    <row r="29" spans="2:27" ht="15" customHeight="1" x14ac:dyDescent="0.25">
      <c r="B29" s="747" t="s">
        <v>25</v>
      </c>
      <c r="C29" s="748"/>
      <c r="D29" s="748"/>
      <c r="E29" s="748"/>
      <c r="F29" s="748"/>
      <c r="G29" s="748"/>
      <c r="H29" s="748"/>
      <c r="I29" s="748"/>
      <c r="J29" s="748"/>
      <c r="K29" s="749"/>
    </row>
    <row r="30" spans="2:27" ht="45" customHeight="1" x14ac:dyDescent="0.25">
      <c r="B30" s="750" t="s">
        <v>308</v>
      </c>
      <c r="C30" s="662"/>
      <c r="D30" s="662"/>
      <c r="E30" s="662"/>
      <c r="F30" s="662"/>
      <c r="G30" s="662"/>
      <c r="H30" s="662"/>
      <c r="I30" s="662"/>
      <c r="J30" s="662"/>
      <c r="K30" s="751"/>
    </row>
    <row r="31" spans="2:27" ht="30" customHeight="1" x14ac:dyDescent="0.25">
      <c r="B31" s="797" t="s">
        <v>309</v>
      </c>
      <c r="C31" s="659"/>
      <c r="D31" s="659"/>
      <c r="E31" s="659"/>
      <c r="F31" s="659"/>
      <c r="G31" s="659"/>
      <c r="H31" s="659"/>
      <c r="I31" s="659"/>
      <c r="J31" s="659"/>
      <c r="K31" s="798"/>
    </row>
    <row r="32" spans="2:27" ht="15" customHeight="1" thickBot="1" x14ac:dyDescent="0.3">
      <c r="B32" s="737" t="s">
        <v>310</v>
      </c>
      <c r="C32" s="738"/>
      <c r="D32" s="738"/>
      <c r="E32" s="738"/>
      <c r="F32" s="738"/>
      <c r="G32" s="738"/>
      <c r="H32" s="738"/>
      <c r="I32" s="738"/>
      <c r="J32" s="738"/>
      <c r="K32" s="739"/>
    </row>
    <row r="34" spans="2:14" ht="15.75" thickBot="1" x14ac:dyDescent="0.3">
      <c r="B34" s="33"/>
      <c r="C34" s="264"/>
      <c r="D34" s="264"/>
      <c r="E34" s="264"/>
      <c r="F34" s="264"/>
      <c r="G34" s="264"/>
      <c r="H34" s="246"/>
      <c r="I34" s="246"/>
      <c r="J34" s="246"/>
      <c r="K34" s="246"/>
    </row>
    <row r="35" spans="2:14" ht="60" customHeight="1" thickBot="1" x14ac:dyDescent="0.3">
      <c r="B35" s="365" t="s">
        <v>22</v>
      </c>
      <c r="C35" s="799" t="s">
        <v>451</v>
      </c>
      <c r="D35" s="695"/>
      <c r="E35" s="695"/>
      <c r="F35" s="695"/>
      <c r="G35" s="696"/>
      <c r="H35" s="258"/>
      <c r="I35" s="258"/>
      <c r="J35" s="258"/>
      <c r="K35" s="258"/>
    </row>
    <row r="36" spans="2:14" ht="45" customHeight="1" thickBot="1" x14ac:dyDescent="0.3">
      <c r="B36" s="265"/>
      <c r="C36" s="689" t="s">
        <v>273</v>
      </c>
      <c r="D36" s="690"/>
      <c r="E36" s="305">
        <f>E15/E17*E18*E23*E27</f>
        <v>0</v>
      </c>
      <c r="F36" s="380" t="s">
        <v>55</v>
      </c>
      <c r="G36" s="295"/>
      <c r="H36" s="672" t="s">
        <v>556</v>
      </c>
      <c r="I36" s="673"/>
      <c r="J36" s="381">
        <f>E36+E38</f>
        <v>0</v>
      </c>
      <c r="K36" s="444" t="s">
        <v>55</v>
      </c>
    </row>
    <row r="37" spans="2:14" ht="45" customHeight="1" thickBot="1" x14ac:dyDescent="0.3">
      <c r="B37" s="265"/>
      <c r="C37" s="740" t="s">
        <v>274</v>
      </c>
      <c r="D37" s="741"/>
      <c r="E37" s="270">
        <f>E16/E17*E18*E23</f>
        <v>0</v>
      </c>
      <c r="F37" s="325" t="s">
        <v>56</v>
      </c>
      <c r="G37" s="322"/>
      <c r="H37" s="672" t="s">
        <v>557</v>
      </c>
      <c r="I37" s="673"/>
      <c r="J37" s="381">
        <f>E37+E39</f>
        <v>0</v>
      </c>
      <c r="K37" s="443" t="s">
        <v>56</v>
      </c>
    </row>
    <row r="38" spans="2:14" ht="45" customHeight="1" x14ac:dyDescent="0.25">
      <c r="B38" s="265"/>
      <c r="C38" s="740" t="s">
        <v>53</v>
      </c>
      <c r="D38" s="741"/>
      <c r="E38" s="270">
        <f>E19/E21*E22*E23*E27</f>
        <v>0</v>
      </c>
      <c r="F38" s="325" t="s">
        <v>55</v>
      </c>
      <c r="G38" s="322"/>
      <c r="H38" s="258"/>
      <c r="I38" s="258"/>
      <c r="J38" s="258"/>
      <c r="K38" s="258"/>
    </row>
    <row r="39" spans="2:14" ht="45" customHeight="1" thickBot="1" x14ac:dyDescent="0.3">
      <c r="B39" s="265"/>
      <c r="C39" s="685" t="s">
        <v>54</v>
      </c>
      <c r="D39" s="687"/>
      <c r="E39" s="309">
        <f>E20/E21*E22*E23</f>
        <v>0</v>
      </c>
      <c r="F39" s="306" t="s">
        <v>56</v>
      </c>
      <c r="G39" s="271"/>
      <c r="H39" s="258"/>
      <c r="I39" s="258"/>
      <c r="J39" s="258"/>
      <c r="K39" s="258"/>
    </row>
    <row r="40" spans="2:14" x14ac:dyDescent="0.25">
      <c r="C40" s="272"/>
      <c r="D40" s="272"/>
    </row>
    <row r="41" spans="2:14" ht="15.75" thickBot="1" x14ac:dyDescent="0.3"/>
    <row r="42" spans="2:14" ht="30" customHeight="1" x14ac:dyDescent="0.25">
      <c r="B42" s="365" t="s">
        <v>35</v>
      </c>
      <c r="C42" s="768" t="s">
        <v>470</v>
      </c>
      <c r="D42" s="795"/>
      <c r="E42" s="795"/>
      <c r="F42" s="795"/>
      <c r="G42" s="795"/>
      <c r="H42" s="795"/>
      <c r="I42" s="795"/>
      <c r="J42" s="796"/>
      <c r="K42" s="246"/>
      <c r="N42" s="310"/>
    </row>
    <row r="43" spans="2:14" ht="15" customHeight="1" x14ac:dyDescent="0.25">
      <c r="B43" s="274"/>
      <c r="C43" s="275" t="s">
        <v>21</v>
      </c>
      <c r="D43" s="666" t="s">
        <v>8</v>
      </c>
      <c r="E43" s="682"/>
      <c r="F43" s="682"/>
      <c r="G43" s="682"/>
      <c r="H43" s="682"/>
      <c r="I43" s="682"/>
      <c r="J43" s="683"/>
      <c r="K43" s="246"/>
      <c r="N43" s="310"/>
    </row>
    <row r="44" spans="2:14" ht="15" customHeight="1" x14ac:dyDescent="0.25">
      <c r="B44" s="274"/>
      <c r="C44" s="367" t="s">
        <v>9</v>
      </c>
      <c r="D44" s="666" t="s">
        <v>10</v>
      </c>
      <c r="E44" s="666"/>
      <c r="F44" s="666"/>
      <c r="G44" s="666"/>
      <c r="H44" s="666"/>
      <c r="I44" s="666"/>
      <c r="J44" s="667"/>
      <c r="K44" s="246"/>
    </row>
    <row r="45" spans="2:14" ht="15" customHeight="1" x14ac:dyDescent="0.25">
      <c r="B45" s="274"/>
      <c r="C45" s="374">
        <v>1000</v>
      </c>
      <c r="D45" s="668" t="s">
        <v>11</v>
      </c>
      <c r="E45" s="669"/>
      <c r="F45" s="669"/>
      <c r="G45" s="669"/>
      <c r="H45" s="669"/>
      <c r="I45" s="669"/>
      <c r="J45" s="670"/>
      <c r="K45" s="246"/>
    </row>
    <row r="46" spans="2:14" ht="15" customHeight="1" x14ac:dyDescent="0.25">
      <c r="B46" s="274"/>
      <c r="C46" s="369">
        <v>10</v>
      </c>
      <c r="D46" s="671" t="s">
        <v>12</v>
      </c>
      <c r="E46" s="669"/>
      <c r="F46" s="669"/>
      <c r="G46" s="669"/>
      <c r="H46" s="669"/>
      <c r="I46" s="669"/>
      <c r="J46" s="670"/>
      <c r="K46" s="246"/>
    </row>
    <row r="47" spans="2:14" ht="15" customHeight="1" x14ac:dyDescent="0.25">
      <c r="B47" s="274"/>
      <c r="C47" s="374">
        <v>1E-3</v>
      </c>
      <c r="D47" s="668" t="s">
        <v>311</v>
      </c>
      <c r="E47" s="669"/>
      <c r="F47" s="669"/>
      <c r="G47" s="669"/>
      <c r="H47" s="669"/>
      <c r="I47" s="669"/>
      <c r="J47" s="670"/>
      <c r="K47" s="246"/>
    </row>
    <row r="48" spans="2:14" ht="15" customHeight="1" thickBot="1" x14ac:dyDescent="0.3">
      <c r="B48" s="274"/>
      <c r="C48" s="367" t="s">
        <v>307</v>
      </c>
      <c r="D48" s="668" t="s">
        <v>471</v>
      </c>
      <c r="E48" s="669"/>
      <c r="F48" s="669"/>
      <c r="G48" s="669"/>
      <c r="H48" s="669"/>
      <c r="I48" s="669"/>
      <c r="J48" s="670"/>
      <c r="K48" s="246"/>
    </row>
    <row r="49" spans="1:11" ht="45" customHeight="1" thickBot="1" x14ac:dyDescent="0.3">
      <c r="B49" s="274"/>
      <c r="C49" s="672" t="s">
        <v>468</v>
      </c>
      <c r="D49" s="673"/>
      <c r="E49" s="299">
        <f>((J36)/1000*E24)+((J37)/10 * (E25/1000))+(E26/1000)</f>
        <v>0</v>
      </c>
      <c r="F49" s="277" t="s">
        <v>72</v>
      </c>
      <c r="G49" s="277"/>
      <c r="H49" s="277"/>
      <c r="I49" s="277"/>
      <c r="J49" s="278"/>
      <c r="K49" s="255"/>
    </row>
    <row r="50" spans="1:11" x14ac:dyDescent="0.25">
      <c r="C50" s="246"/>
      <c r="D50" s="246"/>
      <c r="E50" s="246"/>
      <c r="F50" s="246"/>
      <c r="G50" s="246"/>
      <c r="H50" s="246"/>
      <c r="I50" s="246"/>
      <c r="J50" s="246"/>
      <c r="K50" s="246"/>
    </row>
    <row r="51" spans="1:11" x14ac:dyDescent="0.25">
      <c r="C51" s="246"/>
      <c r="D51" s="246"/>
      <c r="E51" s="246"/>
      <c r="F51" s="246"/>
      <c r="G51" s="246"/>
      <c r="H51" s="246"/>
      <c r="I51" s="246"/>
      <c r="J51" s="246"/>
      <c r="K51" s="246"/>
    </row>
    <row r="52" spans="1:11" ht="15" hidden="1" customHeight="1" thickBot="1" x14ac:dyDescent="0.3">
      <c r="A52" s="246"/>
      <c r="B52" s="279"/>
      <c r="C52" s="279"/>
      <c r="D52" s="279"/>
      <c r="E52" s="279"/>
      <c r="F52" s="279"/>
      <c r="G52" s="279"/>
      <c r="H52" s="279"/>
      <c r="I52" s="279"/>
      <c r="J52" s="279"/>
      <c r="K52" s="279"/>
    </row>
    <row r="53" spans="1:11" hidden="1" x14ac:dyDescent="0.25">
      <c r="A53" s="246"/>
      <c r="C53" s="246"/>
      <c r="D53" s="246"/>
      <c r="E53" s="246"/>
      <c r="F53" s="246"/>
      <c r="G53" s="246"/>
      <c r="H53" s="246"/>
      <c r="I53" s="246"/>
      <c r="J53" s="246"/>
      <c r="K53" s="246"/>
    </row>
    <row r="54" spans="1:11" hidden="1" x14ac:dyDescent="0.25">
      <c r="C54" s="246"/>
      <c r="D54" s="246"/>
      <c r="E54" s="246"/>
      <c r="F54" s="246"/>
      <c r="G54" s="246"/>
      <c r="H54" s="246"/>
      <c r="I54" s="246"/>
      <c r="J54" s="246"/>
      <c r="K54" s="246"/>
    </row>
    <row r="55" spans="1:11" ht="15.75" hidden="1" customHeight="1" x14ac:dyDescent="0.25">
      <c r="B55" s="674" t="s">
        <v>14</v>
      </c>
      <c r="C55" s="675"/>
      <c r="D55" s="675"/>
      <c r="E55" s="244"/>
      <c r="F55" s="244"/>
      <c r="G55" s="245"/>
      <c r="H55" s="246"/>
      <c r="I55" s="246"/>
      <c r="J55" s="246"/>
      <c r="K55" s="246"/>
    </row>
    <row r="56" spans="1:11" ht="15" hidden="1" customHeight="1" x14ac:dyDescent="0.25">
      <c r="B56" s="280" t="s">
        <v>27</v>
      </c>
      <c r="C56" s="281"/>
      <c r="D56" s="281"/>
      <c r="E56" s="247" t="s">
        <v>28</v>
      </c>
      <c r="F56" s="248" t="s">
        <v>29</v>
      </c>
      <c r="G56" s="249" t="s">
        <v>30</v>
      </c>
      <c r="H56" s="246"/>
      <c r="I56" s="246"/>
      <c r="J56" s="246"/>
      <c r="K56" s="246"/>
    </row>
    <row r="57" spans="1:11" hidden="1" x14ac:dyDescent="0.25">
      <c r="B57" s="676" t="s">
        <v>91</v>
      </c>
      <c r="C57" s="677"/>
      <c r="D57" s="678"/>
      <c r="E57" s="282">
        <v>20.22</v>
      </c>
      <c r="F57" s="251"/>
      <c r="G57" s="284"/>
      <c r="H57" s="246"/>
      <c r="I57" s="246"/>
      <c r="J57" s="246"/>
      <c r="K57" s="246"/>
    </row>
    <row r="58" spans="1:11" hidden="1" x14ac:dyDescent="0.25">
      <c r="B58" s="676" t="s">
        <v>92</v>
      </c>
      <c r="C58" s="677"/>
      <c r="D58" s="678"/>
      <c r="E58" s="282">
        <v>40768</v>
      </c>
      <c r="F58" s="251"/>
      <c r="G58" s="284"/>
      <c r="H58" s="246"/>
      <c r="I58" s="246"/>
      <c r="J58" s="246"/>
      <c r="K58" s="246"/>
    </row>
    <row r="59" spans="1:11" hidden="1" x14ac:dyDescent="0.25">
      <c r="B59" s="676" t="s">
        <v>93</v>
      </c>
      <c r="C59" s="677"/>
      <c r="D59" s="678"/>
      <c r="E59" s="285">
        <v>0.1</v>
      </c>
      <c r="F59" s="251"/>
      <c r="G59" s="284"/>
      <c r="H59" s="246"/>
      <c r="I59" s="246"/>
      <c r="J59" s="246"/>
      <c r="K59" s="246"/>
    </row>
    <row r="60" spans="1:11" hidden="1" x14ac:dyDescent="0.25">
      <c r="B60" s="676" t="s">
        <v>94</v>
      </c>
      <c r="C60" s="677"/>
      <c r="D60" s="678"/>
      <c r="E60" s="285">
        <v>0.25</v>
      </c>
      <c r="F60" s="251"/>
      <c r="G60" s="283"/>
      <c r="H60" s="246"/>
      <c r="I60" s="246"/>
      <c r="J60" s="246"/>
      <c r="K60" s="246"/>
    </row>
    <row r="61" spans="1:11" hidden="1" x14ac:dyDescent="0.25">
      <c r="G61" s="286"/>
    </row>
    <row r="62" spans="1:11" hidden="1" x14ac:dyDescent="0.25">
      <c r="B62" s="243"/>
      <c r="C62" s="243"/>
      <c r="D62" s="243"/>
      <c r="E62" s="243"/>
      <c r="F62" s="243"/>
      <c r="G62" s="243"/>
      <c r="H62" s="243"/>
      <c r="I62" s="243"/>
      <c r="J62" s="243"/>
      <c r="K62" s="243"/>
    </row>
    <row r="63" spans="1:11" ht="15.75" hidden="1" x14ac:dyDescent="0.25">
      <c r="B63" s="674" t="s">
        <v>51</v>
      </c>
      <c r="C63" s="675"/>
      <c r="D63" s="675"/>
      <c r="E63" s="675"/>
      <c r="F63" s="675"/>
      <c r="G63" s="675"/>
      <c r="H63" s="675"/>
      <c r="I63" s="675"/>
      <c r="J63" s="675"/>
      <c r="K63" s="688"/>
    </row>
    <row r="64" spans="1:11" hidden="1" x14ac:dyDescent="0.25">
      <c r="B64" s="661"/>
      <c r="C64" s="662"/>
      <c r="D64" s="662"/>
      <c r="E64" s="662"/>
      <c r="F64" s="662"/>
      <c r="G64" s="662"/>
      <c r="H64" s="662"/>
      <c r="I64" s="662"/>
      <c r="J64" s="662"/>
      <c r="K64" s="663"/>
    </row>
    <row r="65" spans="2:11" hidden="1" x14ac:dyDescent="0.25">
      <c r="B65" s="658"/>
      <c r="C65" s="659"/>
      <c r="D65" s="659"/>
      <c r="E65" s="659"/>
      <c r="F65" s="659"/>
      <c r="G65" s="659"/>
      <c r="H65" s="659"/>
      <c r="I65" s="659"/>
      <c r="J65" s="659"/>
      <c r="K65" s="660"/>
    </row>
    <row r="66" spans="2:11" hidden="1" x14ac:dyDescent="0.25">
      <c r="B66" s="661"/>
      <c r="C66" s="662"/>
      <c r="D66" s="662"/>
      <c r="E66" s="662"/>
      <c r="F66" s="662"/>
      <c r="G66" s="662"/>
      <c r="H66" s="662"/>
      <c r="I66" s="662"/>
      <c r="J66" s="662"/>
      <c r="K66" s="663"/>
    </row>
    <row r="67" spans="2:11" hidden="1" x14ac:dyDescent="0.25"/>
    <row r="68" spans="2:11" hidden="1" x14ac:dyDescent="0.25"/>
    <row r="69" spans="2:11" ht="15.75" hidden="1" customHeight="1" thickBot="1" x14ac:dyDescent="0.3">
      <c r="B69" s="265" t="s">
        <v>36</v>
      </c>
      <c r="C69" s="664" t="s">
        <v>120</v>
      </c>
      <c r="D69" s="665"/>
      <c r="E69" s="665"/>
      <c r="F69" s="665"/>
      <c r="G69" s="665"/>
      <c r="H69" s="665"/>
      <c r="I69" s="665"/>
      <c r="J69" s="665"/>
      <c r="K69" s="273"/>
    </row>
    <row r="70" spans="2:11" hidden="1" x14ac:dyDescent="0.25">
      <c r="B70" s="274"/>
      <c r="C70" s="735" t="s">
        <v>42</v>
      </c>
      <c r="E70" s="736"/>
      <c r="F70" s="297"/>
      <c r="G70" s="297"/>
      <c r="H70" s="297"/>
      <c r="I70" s="297"/>
      <c r="J70" s="297"/>
      <c r="K70" s="288"/>
    </row>
    <row r="71" spans="2:11" hidden="1" x14ac:dyDescent="0.25">
      <c r="B71" s="274"/>
      <c r="C71" s="684"/>
      <c r="D71" s="289">
        <f>(E58*E60/8)+(E58*E59)</f>
        <v>5350.8</v>
      </c>
      <c r="E71" s="686"/>
      <c r="F71" s="255"/>
      <c r="G71" s="255"/>
      <c r="H71" s="255"/>
      <c r="I71" s="255"/>
      <c r="J71" s="255"/>
      <c r="K71" s="290"/>
    </row>
    <row r="72" spans="2:11" ht="15.75" hidden="1" thickBot="1" x14ac:dyDescent="0.3">
      <c r="B72" s="274"/>
      <c r="C72" s="685"/>
      <c r="D72" s="291"/>
      <c r="E72" s="687"/>
      <c r="F72" s="292"/>
      <c r="G72" s="292"/>
      <c r="H72" s="292"/>
      <c r="I72" s="292"/>
      <c r="J72" s="292"/>
      <c r="K72" s="293"/>
    </row>
    <row r="73" spans="2:11" hidden="1" x14ac:dyDescent="0.25"/>
  </sheetData>
  <sheetProtection password="DCA2" sheet="1" objects="1" scenarios="1"/>
  <mergeCells count="70">
    <mergeCell ref="B1:J1"/>
    <mergeCell ref="C5:K5"/>
    <mergeCell ref="C6:K6"/>
    <mergeCell ref="B13:D13"/>
    <mergeCell ref="B7:B11"/>
    <mergeCell ref="E7:K7"/>
    <mergeCell ref="E8:K8"/>
    <mergeCell ref="E9:K9"/>
    <mergeCell ref="E10:K10"/>
    <mergeCell ref="E11:K11"/>
    <mergeCell ref="C4:K4"/>
    <mergeCell ref="B14:D14"/>
    <mergeCell ref="B15:D15"/>
    <mergeCell ref="B16:D16"/>
    <mergeCell ref="B17:D17"/>
    <mergeCell ref="B18:D18"/>
    <mergeCell ref="B19:D19"/>
    <mergeCell ref="B24:D24"/>
    <mergeCell ref="B25:D25"/>
    <mergeCell ref="B26:D26"/>
    <mergeCell ref="B27:D27"/>
    <mergeCell ref="B29:K29"/>
    <mergeCell ref="B20:D20"/>
    <mergeCell ref="B21:D21"/>
    <mergeCell ref="B22:D22"/>
    <mergeCell ref="B23:D23"/>
    <mergeCell ref="H27:K27"/>
    <mergeCell ref="H36:I36"/>
    <mergeCell ref="C37:D37"/>
    <mergeCell ref="H37:I37"/>
    <mergeCell ref="C38:D38"/>
    <mergeCell ref="B30:K30"/>
    <mergeCell ref="B31:K31"/>
    <mergeCell ref="B32:K32"/>
    <mergeCell ref="C36:D36"/>
    <mergeCell ref="C35:G35"/>
    <mergeCell ref="D46:J46"/>
    <mergeCell ref="D47:J47"/>
    <mergeCell ref="C49:D49"/>
    <mergeCell ref="D48:J48"/>
    <mergeCell ref="C70:C72"/>
    <mergeCell ref="E70:E72"/>
    <mergeCell ref="B55:D55"/>
    <mergeCell ref="B57:D57"/>
    <mergeCell ref="B58:D58"/>
    <mergeCell ref="B59:D59"/>
    <mergeCell ref="B60:D60"/>
    <mergeCell ref="B63:K63"/>
    <mergeCell ref="B65:K65"/>
    <mergeCell ref="B66:K66"/>
    <mergeCell ref="C69:J69"/>
    <mergeCell ref="B64:K64"/>
    <mergeCell ref="C42:J42"/>
    <mergeCell ref="D43:J43"/>
    <mergeCell ref="C39:D39"/>
    <mergeCell ref="D44:J44"/>
    <mergeCell ref="D45:J45"/>
    <mergeCell ref="H14:K14"/>
    <mergeCell ref="H18:K18"/>
    <mergeCell ref="H22:K22"/>
    <mergeCell ref="H26:K26"/>
    <mergeCell ref="H15:K15"/>
    <mergeCell ref="H16:K16"/>
    <mergeCell ref="H17:K17"/>
    <mergeCell ref="H19:K19"/>
    <mergeCell ref="H20:K20"/>
    <mergeCell ref="H21:K21"/>
    <mergeCell ref="H23:K23"/>
    <mergeCell ref="H24:K24"/>
    <mergeCell ref="H25:K25"/>
  </mergeCells>
  <dataValidations count="1">
    <dataValidation type="list" allowBlank="1" showInputMessage="1" showErrorMessage="1" sqref="C8:C11">
      <formula1>ImpOptions</formula1>
    </dataValidation>
  </dataValidations>
  <pageMargins left="0.7" right="0.7" top="0.75" bottom="0.75" header="0.3" footer="0.3"/>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vt:i4>
      </vt:variant>
    </vt:vector>
  </HeadingPairs>
  <TitlesOfParts>
    <vt:vector size="20" baseType="lpstr">
      <vt:lpstr>Tool Dev</vt:lpstr>
      <vt:lpstr>Instructions</vt:lpstr>
      <vt:lpstr>Summary Table</vt:lpstr>
      <vt:lpstr>Common Factors</vt:lpstr>
      <vt:lpstr>E 1.1</vt:lpstr>
      <vt:lpstr>E 1.2</vt:lpstr>
      <vt:lpstr>E 1.3</vt:lpstr>
      <vt:lpstr>E 1.5</vt:lpstr>
      <vt:lpstr>E 1.6</vt:lpstr>
      <vt:lpstr>E 2.1</vt:lpstr>
      <vt:lpstr>T1.1</vt:lpstr>
      <vt:lpstr>LU.1.1</vt:lpstr>
      <vt:lpstr>SW.1.1</vt:lpstr>
      <vt:lpstr>Strategy E.1.X</vt:lpstr>
      <vt:lpstr>Strategy E.3.1</vt:lpstr>
      <vt:lpstr>Strategy E.3.2</vt:lpstr>
      <vt:lpstr>W.1.1</vt:lpstr>
      <vt:lpstr>ImplementationOptions</vt:lpstr>
      <vt:lpstr>ImpOptions</vt:lpstr>
      <vt:lpstr>Instructions!Print_Area</vt:lpstr>
    </vt:vector>
  </TitlesOfParts>
  <Company>ESA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jxs</dc:creator>
  <cp:lastModifiedBy>jxs</cp:lastModifiedBy>
  <cp:lastPrinted>2013-10-16T21:01:12Z</cp:lastPrinted>
  <dcterms:created xsi:type="dcterms:W3CDTF">2012-01-18T22:06:30Z</dcterms:created>
  <dcterms:modified xsi:type="dcterms:W3CDTF">2013-12-05T22:17:15Z</dcterms:modified>
</cp:coreProperties>
</file>